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005" windowHeight="12000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VORN!$I$36</definedName>
  </definedNames>
  <calcPr calcId="125725" iterateCount="1"/>
</workbook>
</file>

<file path=xl/calcChain.xml><?xml version="1.0" encoding="utf-8"?>
<calcChain xmlns="http://schemas.openxmlformats.org/spreadsheetml/2006/main">
  <c r="AS1" i="1"/>
  <c r="AT1"/>
  <c r="AU1"/>
  <c r="J13"/>
  <c r="AH13"/>
  <c r="AO13"/>
  <c r="AP13"/>
  <c r="I13" s="1"/>
  <c r="BD13"/>
  <c r="BF13"/>
  <c r="BJ13"/>
  <c r="Z13" s="1"/>
  <c r="I15"/>
  <c r="J15"/>
  <c r="Z15"/>
  <c r="AC15"/>
  <c r="AG15"/>
  <c r="AJ15"/>
  <c r="AK15"/>
  <c r="AL15"/>
  <c r="AO15"/>
  <c r="H15" s="1"/>
  <c r="AP15"/>
  <c r="AX15" s="1"/>
  <c r="BD15"/>
  <c r="BF15"/>
  <c r="BI15"/>
  <c r="AE15" s="1"/>
  <c r="BJ15"/>
  <c r="AH15" s="1"/>
  <c r="J18"/>
  <c r="AH18"/>
  <c r="AO18"/>
  <c r="BH18" s="1"/>
  <c r="AP18"/>
  <c r="I18" s="1"/>
  <c r="BD18"/>
  <c r="BF18"/>
  <c r="BJ18"/>
  <c r="Z18" s="1"/>
  <c r="I20"/>
  <c r="J20"/>
  <c r="Z20"/>
  <c r="AC20"/>
  <c r="AG20"/>
  <c r="AJ20"/>
  <c r="AK20"/>
  <c r="AL20"/>
  <c r="AO20"/>
  <c r="H20" s="1"/>
  <c r="AP20"/>
  <c r="AX20" s="1"/>
  <c r="BD20"/>
  <c r="BF20"/>
  <c r="BI20"/>
  <c r="AE20" s="1"/>
  <c r="BJ20"/>
  <c r="AH20" s="1"/>
  <c r="H22"/>
  <c r="J22"/>
  <c r="AJ22" s="1"/>
  <c r="AB22"/>
  <c r="AC22"/>
  <c r="AF22"/>
  <c r="AK22"/>
  <c r="AL22"/>
  <c r="AO22"/>
  <c r="AW22" s="1"/>
  <c r="BC22" s="1"/>
  <c r="AP22"/>
  <c r="I22" s="1"/>
  <c r="AX22"/>
  <c r="BD22"/>
  <c r="BF22"/>
  <c r="BH22"/>
  <c r="AD22" s="1"/>
  <c r="BI22"/>
  <c r="AG22" s="1"/>
  <c r="BJ22"/>
  <c r="I25"/>
  <c r="J25"/>
  <c r="Z25"/>
  <c r="AC25"/>
  <c r="AG25"/>
  <c r="AJ25"/>
  <c r="AK25"/>
  <c r="AL25"/>
  <c r="AO25"/>
  <c r="H25" s="1"/>
  <c r="AP25"/>
  <c r="AX25" s="1"/>
  <c r="BD25"/>
  <c r="BF25"/>
  <c r="BH25"/>
  <c r="BI25"/>
  <c r="AE25" s="1"/>
  <c r="BJ25"/>
  <c r="AH25" s="1"/>
  <c r="H27"/>
  <c r="J27"/>
  <c r="AB27"/>
  <c r="AC27"/>
  <c r="AF27"/>
  <c r="AK27"/>
  <c r="AL27"/>
  <c r="AO27"/>
  <c r="AW27" s="1"/>
  <c r="BC27" s="1"/>
  <c r="AP27"/>
  <c r="I27" s="1"/>
  <c r="AX27"/>
  <c r="BD27"/>
  <c r="BF27"/>
  <c r="BH27"/>
  <c r="AD27" s="1"/>
  <c r="BI27"/>
  <c r="AG27" s="1"/>
  <c r="BJ27"/>
  <c r="J29"/>
  <c r="AL29" s="1"/>
  <c r="Z29"/>
  <c r="AB29"/>
  <c r="AH29"/>
  <c r="AJ29"/>
  <c r="AK29"/>
  <c r="AO29"/>
  <c r="H29" s="1"/>
  <c r="AP29"/>
  <c r="AW29"/>
  <c r="BD29"/>
  <c r="BF29"/>
  <c r="BH29"/>
  <c r="AF29" s="1"/>
  <c r="BI29"/>
  <c r="BJ29"/>
  <c r="I31"/>
  <c r="J31"/>
  <c r="Z31"/>
  <c r="AC31"/>
  <c r="AD31"/>
  <c r="AG31"/>
  <c r="AH31"/>
  <c r="AJ31"/>
  <c r="AO31"/>
  <c r="AP31"/>
  <c r="AX31"/>
  <c r="BD31"/>
  <c r="BF31"/>
  <c r="BH31"/>
  <c r="BI31"/>
  <c r="AE31" s="1"/>
  <c r="BJ31"/>
  <c r="H33"/>
  <c r="I33"/>
  <c r="J33"/>
  <c r="AB33"/>
  <c r="AC33"/>
  <c r="AF33"/>
  <c r="AG33"/>
  <c r="AH33"/>
  <c r="AL33"/>
  <c r="AO33"/>
  <c r="AP33"/>
  <c r="AW33"/>
  <c r="AX33"/>
  <c r="BD33"/>
  <c r="BF33"/>
  <c r="BH33"/>
  <c r="AD33" s="1"/>
  <c r="BI33"/>
  <c r="AE33" s="1"/>
  <c r="BJ33"/>
  <c r="Z33" s="1"/>
  <c r="H35"/>
  <c r="I35"/>
  <c r="J35"/>
  <c r="AL35" s="1"/>
  <c r="AB35"/>
  <c r="AF35"/>
  <c r="AG35"/>
  <c r="AJ35"/>
  <c r="AK35"/>
  <c r="AO35"/>
  <c r="AP35"/>
  <c r="AX35" s="1"/>
  <c r="AV35" s="1"/>
  <c r="AW35"/>
  <c r="BD35"/>
  <c r="BF35"/>
  <c r="BH35"/>
  <c r="AD35" s="1"/>
  <c r="BI35"/>
  <c r="AE35" s="1"/>
  <c r="BJ35"/>
  <c r="H38"/>
  <c r="I38"/>
  <c r="J38"/>
  <c r="AB38"/>
  <c r="AC38"/>
  <c r="AF38"/>
  <c r="AG38"/>
  <c r="AH38"/>
  <c r="AL38"/>
  <c r="AO38"/>
  <c r="AP38"/>
  <c r="AW38"/>
  <c r="AX38"/>
  <c r="BD38"/>
  <c r="BF38"/>
  <c r="BH38"/>
  <c r="AD38" s="1"/>
  <c r="BI38"/>
  <c r="AE38" s="1"/>
  <c r="BJ38"/>
  <c r="Z38" s="1"/>
  <c r="H40"/>
  <c r="I40"/>
  <c r="J40"/>
  <c r="AL40" s="1"/>
  <c r="AB40"/>
  <c r="AF40"/>
  <c r="AG40"/>
  <c r="AJ40"/>
  <c r="AK40"/>
  <c r="AO40"/>
  <c r="AP40"/>
  <c r="AX40" s="1"/>
  <c r="AV40"/>
  <c r="AW40"/>
  <c r="BD40"/>
  <c r="BF40"/>
  <c r="BH40"/>
  <c r="AD40" s="1"/>
  <c r="BI40"/>
  <c r="AE40" s="1"/>
  <c r="BJ40"/>
  <c r="H42"/>
  <c r="J42"/>
  <c r="AK42" s="1"/>
  <c r="AE42"/>
  <c r="AF42"/>
  <c r="AJ42"/>
  <c r="AL42"/>
  <c r="AO42"/>
  <c r="AW42" s="1"/>
  <c r="AP42"/>
  <c r="BD42"/>
  <c r="BF42"/>
  <c r="BH42"/>
  <c r="AD42" s="1"/>
  <c r="BI42"/>
  <c r="BJ42"/>
  <c r="AH42" s="1"/>
  <c r="J44"/>
  <c r="AH44"/>
  <c r="AO44"/>
  <c r="AP44"/>
  <c r="I44" s="1"/>
  <c r="BD44"/>
  <c r="BF44"/>
  <c r="BJ44"/>
  <c r="Z44" s="1"/>
  <c r="I46"/>
  <c r="J46"/>
  <c r="Z46"/>
  <c r="AC46"/>
  <c r="AG46"/>
  <c r="AJ46"/>
  <c r="AK46"/>
  <c r="AL46"/>
  <c r="AO46"/>
  <c r="H46" s="1"/>
  <c r="AP46"/>
  <c r="AX46" s="1"/>
  <c r="BD46"/>
  <c r="BF46"/>
  <c r="BI46"/>
  <c r="AE46" s="1"/>
  <c r="BJ46"/>
  <c r="AH46" s="1"/>
  <c r="H48"/>
  <c r="J48"/>
  <c r="AJ48" s="1"/>
  <c r="AB48"/>
  <c r="AC48"/>
  <c r="AF48"/>
  <c r="AK48"/>
  <c r="AL48"/>
  <c r="AO48"/>
  <c r="AW48" s="1"/>
  <c r="BC48" s="1"/>
  <c r="AP48"/>
  <c r="I48" s="1"/>
  <c r="AX48"/>
  <c r="BD48"/>
  <c r="BF48"/>
  <c r="BH48"/>
  <c r="AD48" s="1"/>
  <c r="BI48"/>
  <c r="AG48" s="1"/>
  <c r="BJ48"/>
  <c r="J50"/>
  <c r="AL50" s="1"/>
  <c r="Z50"/>
  <c r="AB50"/>
  <c r="AH50"/>
  <c r="AJ50"/>
  <c r="AK50"/>
  <c r="AO50"/>
  <c r="H50" s="1"/>
  <c r="AP50"/>
  <c r="AW50"/>
  <c r="BD50"/>
  <c r="BF50"/>
  <c r="BH50"/>
  <c r="AF50" s="1"/>
  <c r="BI50"/>
  <c r="AE50" s="1"/>
  <c r="BJ50"/>
  <c r="H53"/>
  <c r="J53"/>
  <c r="AJ53" s="1"/>
  <c r="AB53"/>
  <c r="AC53"/>
  <c r="AF53"/>
  <c r="AK53"/>
  <c r="AL53"/>
  <c r="AO53"/>
  <c r="AW53" s="1"/>
  <c r="BC53" s="1"/>
  <c r="AP53"/>
  <c r="I53" s="1"/>
  <c r="AX53"/>
  <c r="BD53"/>
  <c r="BF53"/>
  <c r="BH53"/>
  <c r="AD53" s="1"/>
  <c r="BI53"/>
  <c r="AG53" s="1"/>
  <c r="BJ53"/>
  <c r="J56"/>
  <c r="AL56" s="1"/>
  <c r="Z56"/>
  <c r="AB56"/>
  <c r="AH56"/>
  <c r="AJ56"/>
  <c r="AK56"/>
  <c r="AO56"/>
  <c r="H56" s="1"/>
  <c r="AP56"/>
  <c r="AW56"/>
  <c r="BD56"/>
  <c r="BF56"/>
  <c r="BH56"/>
  <c r="AF56" s="1"/>
  <c r="BI56"/>
  <c r="BJ56"/>
  <c r="I59"/>
  <c r="J59"/>
  <c r="Z59"/>
  <c r="AC59"/>
  <c r="AD59"/>
  <c r="AG59"/>
  <c r="AH59"/>
  <c r="AJ59"/>
  <c r="AO59"/>
  <c r="AP59"/>
  <c r="AX59"/>
  <c r="BD59"/>
  <c r="BF59"/>
  <c r="BH59"/>
  <c r="BI59"/>
  <c r="AE59" s="1"/>
  <c r="BJ59"/>
  <c r="H62"/>
  <c r="I62"/>
  <c r="J62"/>
  <c r="AB62"/>
  <c r="AC62"/>
  <c r="AF62"/>
  <c r="AG62"/>
  <c r="AH62"/>
  <c r="AL62"/>
  <c r="AO62"/>
  <c r="AP62"/>
  <c r="AW62"/>
  <c r="AX62"/>
  <c r="BD62"/>
  <c r="BF62"/>
  <c r="BH62"/>
  <c r="AD62" s="1"/>
  <c r="BI62"/>
  <c r="AE62" s="1"/>
  <c r="BJ62"/>
  <c r="Z62" s="1"/>
  <c r="H64"/>
  <c r="I64"/>
  <c r="J64"/>
  <c r="AL64" s="1"/>
  <c r="AB64"/>
  <c r="AF64"/>
  <c r="AG64"/>
  <c r="AJ64"/>
  <c r="AK64"/>
  <c r="AO64"/>
  <c r="AP64"/>
  <c r="AX64" s="1"/>
  <c r="AV64" s="1"/>
  <c r="AW64"/>
  <c r="BD64"/>
  <c r="BF64"/>
  <c r="BH64"/>
  <c r="AD64" s="1"/>
  <c r="BI64"/>
  <c r="AE64" s="1"/>
  <c r="BJ64"/>
  <c r="H67"/>
  <c r="J67"/>
  <c r="AK67" s="1"/>
  <c r="Z67"/>
  <c r="AF67"/>
  <c r="AJ67"/>
  <c r="AL67"/>
  <c r="AO67"/>
  <c r="AW67" s="1"/>
  <c r="AP67"/>
  <c r="BD67"/>
  <c r="BF67"/>
  <c r="BH67"/>
  <c r="AD67" s="1"/>
  <c r="BJ67"/>
  <c r="AH67" s="1"/>
  <c r="J69"/>
  <c r="AH69"/>
  <c r="AO69"/>
  <c r="AP69"/>
  <c r="I69" s="1"/>
  <c r="AX69"/>
  <c r="BD69"/>
  <c r="BF69"/>
  <c r="BH69"/>
  <c r="AD69" s="1"/>
  <c r="BI69"/>
  <c r="AE69" s="1"/>
  <c r="BJ69"/>
  <c r="Z69" s="1"/>
  <c r="I73"/>
  <c r="J73"/>
  <c r="Z73"/>
  <c r="AC73"/>
  <c r="AD73"/>
  <c r="AG73"/>
  <c r="AJ73"/>
  <c r="AK73"/>
  <c r="AL73"/>
  <c r="AO73"/>
  <c r="H73" s="1"/>
  <c r="AP73"/>
  <c r="AX73"/>
  <c r="BD73"/>
  <c r="BF73"/>
  <c r="BH73"/>
  <c r="BI73"/>
  <c r="AE73" s="1"/>
  <c r="BJ73"/>
  <c r="AH73" s="1"/>
  <c r="H75"/>
  <c r="J75"/>
  <c r="AJ75" s="1"/>
  <c r="AB75"/>
  <c r="AC75"/>
  <c r="AF75"/>
  <c r="AK75"/>
  <c r="AL75"/>
  <c r="AO75"/>
  <c r="AP75"/>
  <c r="I75" s="1"/>
  <c r="AV75"/>
  <c r="AW75"/>
  <c r="AX75"/>
  <c r="BC75" s="1"/>
  <c r="BD75"/>
  <c r="BF75"/>
  <c r="BH75"/>
  <c r="AD75" s="1"/>
  <c r="BI75"/>
  <c r="AG75" s="1"/>
  <c r="BJ75"/>
  <c r="I78"/>
  <c r="J78"/>
  <c r="Z78"/>
  <c r="AC78"/>
  <c r="AG78"/>
  <c r="AJ78"/>
  <c r="AK78"/>
  <c r="AL78"/>
  <c r="AO78"/>
  <c r="H78" s="1"/>
  <c r="AP78"/>
  <c r="AX78"/>
  <c r="BD78"/>
  <c r="BF78"/>
  <c r="BH78"/>
  <c r="AD78" s="1"/>
  <c r="BI78"/>
  <c r="AE78" s="1"/>
  <c r="BJ78"/>
  <c r="AH78" s="1"/>
  <c r="H84"/>
  <c r="J84"/>
  <c r="J77" s="1"/>
  <c r="AB84"/>
  <c r="AC84"/>
  <c r="AF84"/>
  <c r="AK84"/>
  <c r="AL84"/>
  <c r="AO84"/>
  <c r="AP84"/>
  <c r="I84" s="1"/>
  <c r="AV84"/>
  <c r="AW84"/>
  <c r="AX84"/>
  <c r="BC84" s="1"/>
  <c r="BD84"/>
  <c r="BF84"/>
  <c r="BH84"/>
  <c r="AD84" s="1"/>
  <c r="BI84"/>
  <c r="AG84" s="1"/>
  <c r="BJ84"/>
  <c r="J88"/>
  <c r="AL88" s="1"/>
  <c r="Z88"/>
  <c r="AB88"/>
  <c r="AH88"/>
  <c r="AJ88"/>
  <c r="AK88"/>
  <c r="AO88"/>
  <c r="H88" s="1"/>
  <c r="AP88"/>
  <c r="AW88"/>
  <c r="BD88"/>
  <c r="BF88"/>
  <c r="BH88"/>
  <c r="AF88" s="1"/>
  <c r="BI88"/>
  <c r="BJ88"/>
  <c r="I92"/>
  <c r="J92"/>
  <c r="Z92"/>
  <c r="AC92"/>
  <c r="AD92"/>
  <c r="AG92"/>
  <c r="AH92"/>
  <c r="AJ92"/>
  <c r="AO92"/>
  <c r="AP92"/>
  <c r="AX92"/>
  <c r="BD92"/>
  <c r="BF92"/>
  <c r="BH92"/>
  <c r="BI92"/>
  <c r="AE92" s="1"/>
  <c r="BJ92"/>
  <c r="H94"/>
  <c r="I94"/>
  <c r="J94"/>
  <c r="AB94"/>
  <c r="AC94"/>
  <c r="AF94"/>
  <c r="AG94"/>
  <c r="AH94"/>
  <c r="AL94"/>
  <c r="AO94"/>
  <c r="AP94"/>
  <c r="AW94"/>
  <c r="AX94"/>
  <c r="BD94"/>
  <c r="BF94"/>
  <c r="BH94"/>
  <c r="AD94" s="1"/>
  <c r="BI94"/>
  <c r="AE94" s="1"/>
  <c r="BJ94"/>
  <c r="Z94" s="1"/>
  <c r="H96"/>
  <c r="I96"/>
  <c r="J96"/>
  <c r="AB96"/>
  <c r="AF96"/>
  <c r="AG96"/>
  <c r="AJ96"/>
  <c r="AK96"/>
  <c r="AL96"/>
  <c r="AO96"/>
  <c r="AP96"/>
  <c r="AX96" s="1"/>
  <c r="AV96" s="1"/>
  <c r="AW96"/>
  <c r="BD96"/>
  <c r="BF96"/>
  <c r="BH96"/>
  <c r="AD96" s="1"/>
  <c r="BI96"/>
  <c r="AE96" s="1"/>
  <c r="BJ96"/>
  <c r="H98"/>
  <c r="H99"/>
  <c r="I99"/>
  <c r="I98" s="1"/>
  <c r="J99"/>
  <c r="AB99"/>
  <c r="AC99"/>
  <c r="AF99"/>
  <c r="AG99"/>
  <c r="AH99"/>
  <c r="AL99"/>
  <c r="AU98" s="1"/>
  <c r="AO99"/>
  <c r="AP99"/>
  <c r="AW99"/>
  <c r="AX99"/>
  <c r="BD99"/>
  <c r="BF99"/>
  <c r="BH99"/>
  <c r="AD99" s="1"/>
  <c r="BI99"/>
  <c r="AE99" s="1"/>
  <c r="BJ99"/>
  <c r="Z99" s="1"/>
  <c r="I102"/>
  <c r="J102"/>
  <c r="Z102"/>
  <c r="AC102"/>
  <c r="AG102"/>
  <c r="AH102"/>
  <c r="AO102"/>
  <c r="AP102"/>
  <c r="AX102"/>
  <c r="BD102"/>
  <c r="BF102"/>
  <c r="BI102"/>
  <c r="AE102" s="1"/>
  <c r="BJ102"/>
  <c r="H104"/>
  <c r="I104"/>
  <c r="J104"/>
  <c r="AB104"/>
  <c r="AC104"/>
  <c r="AF104"/>
  <c r="AG104"/>
  <c r="AH104"/>
  <c r="AL104"/>
  <c r="AO104"/>
  <c r="AP104"/>
  <c r="AW104"/>
  <c r="AX104"/>
  <c r="BD104"/>
  <c r="BF104"/>
  <c r="BH104"/>
  <c r="AD104" s="1"/>
  <c r="BI104"/>
  <c r="AE104" s="1"/>
  <c r="BJ104"/>
  <c r="Z104" s="1"/>
  <c r="H106"/>
  <c r="I106"/>
  <c r="J106"/>
  <c r="AB106"/>
  <c r="AF106"/>
  <c r="AG106"/>
  <c r="AJ106"/>
  <c r="AK106"/>
  <c r="AL106"/>
  <c r="AO106"/>
  <c r="AP106"/>
  <c r="AX106" s="1"/>
  <c r="AV106"/>
  <c r="AW106"/>
  <c r="BD106"/>
  <c r="BF106"/>
  <c r="BH106"/>
  <c r="AD106" s="1"/>
  <c r="BI106"/>
  <c r="AE106" s="1"/>
  <c r="BJ106"/>
  <c r="H108"/>
  <c r="J108"/>
  <c r="AK108" s="1"/>
  <c r="AE108"/>
  <c r="AF108"/>
  <c r="AJ108"/>
  <c r="AL108"/>
  <c r="AO108"/>
  <c r="AW108" s="1"/>
  <c r="AP108"/>
  <c r="BD108"/>
  <c r="BF108"/>
  <c r="BH108"/>
  <c r="AD108" s="1"/>
  <c r="BI108"/>
  <c r="BJ108"/>
  <c r="AH108" s="1"/>
  <c r="J110"/>
  <c r="H111"/>
  <c r="I111"/>
  <c r="J111"/>
  <c r="AB111"/>
  <c r="AF111"/>
  <c r="AG111"/>
  <c r="AJ111"/>
  <c r="AS110" s="1"/>
  <c r="AK111"/>
  <c r="AL111"/>
  <c r="AO111"/>
  <c r="AP111"/>
  <c r="AX111" s="1"/>
  <c r="AV111" s="1"/>
  <c r="AW111"/>
  <c r="BD111"/>
  <c r="BF111"/>
  <c r="BH111"/>
  <c r="AD111" s="1"/>
  <c r="BI111"/>
  <c r="AE111" s="1"/>
  <c r="BJ111"/>
  <c r="H113"/>
  <c r="J113"/>
  <c r="AK113" s="1"/>
  <c r="Z113"/>
  <c r="AF113"/>
  <c r="AJ113"/>
  <c r="AL113"/>
  <c r="AU110" s="1"/>
  <c r="AO113"/>
  <c r="AW113" s="1"/>
  <c r="AP113"/>
  <c r="BI113" s="1"/>
  <c r="BD113"/>
  <c r="BF113"/>
  <c r="BH113"/>
  <c r="AD113" s="1"/>
  <c r="BJ113"/>
  <c r="AH113" s="1"/>
  <c r="J115"/>
  <c r="H116"/>
  <c r="H115" s="1"/>
  <c r="I116"/>
  <c r="J116"/>
  <c r="AB116"/>
  <c r="AF116"/>
  <c r="AG116"/>
  <c r="AJ116"/>
  <c r="AK116"/>
  <c r="AT115" s="1"/>
  <c r="AL116"/>
  <c r="AO116"/>
  <c r="AP116"/>
  <c r="AX116" s="1"/>
  <c r="AV116" s="1"/>
  <c r="AW116"/>
  <c r="BD116"/>
  <c r="BF116"/>
  <c r="BH116"/>
  <c r="AD116" s="1"/>
  <c r="BI116"/>
  <c r="AE116" s="1"/>
  <c r="BJ116"/>
  <c r="H118"/>
  <c r="J118"/>
  <c r="AK118" s="1"/>
  <c r="AF118"/>
  <c r="AJ118"/>
  <c r="AL118"/>
  <c r="AU115" s="1"/>
  <c r="AO118"/>
  <c r="AW118" s="1"/>
  <c r="AP118"/>
  <c r="BD118"/>
  <c r="BF118"/>
  <c r="BH118"/>
  <c r="AD118" s="1"/>
  <c r="BI118"/>
  <c r="BJ118"/>
  <c r="AH118" s="1"/>
  <c r="J120"/>
  <c r="AU120"/>
  <c r="H121"/>
  <c r="H120" s="1"/>
  <c r="I121"/>
  <c r="I120" s="1"/>
  <c r="J121"/>
  <c r="AB121"/>
  <c r="AF121"/>
  <c r="AG121"/>
  <c r="AJ121"/>
  <c r="AS120" s="1"/>
  <c r="AK121"/>
  <c r="AT120" s="1"/>
  <c r="AL121"/>
  <c r="AO121"/>
  <c r="AP121"/>
  <c r="AX121" s="1"/>
  <c r="AV121"/>
  <c r="AW121"/>
  <c r="BC121" s="1"/>
  <c r="BD121"/>
  <c r="BF121"/>
  <c r="BH121"/>
  <c r="AD121" s="1"/>
  <c r="BI121"/>
  <c r="AE121" s="1"/>
  <c r="BJ121"/>
  <c r="H124"/>
  <c r="I124"/>
  <c r="I123" s="1"/>
  <c r="J124"/>
  <c r="AB124"/>
  <c r="AC124"/>
  <c r="AF124"/>
  <c r="AG124"/>
  <c r="AH124"/>
  <c r="AL124"/>
  <c r="AU123" s="1"/>
  <c r="AO124"/>
  <c r="AP124"/>
  <c r="AW124"/>
  <c r="AX124"/>
  <c r="BD124"/>
  <c r="BF124"/>
  <c r="BH124"/>
  <c r="AD124" s="1"/>
  <c r="BI124"/>
  <c r="AE124" s="1"/>
  <c r="BJ124"/>
  <c r="Z124" s="1"/>
  <c r="H128"/>
  <c r="H123" s="1"/>
  <c r="I128"/>
  <c r="J128"/>
  <c r="AB128"/>
  <c r="AF128"/>
  <c r="AG128"/>
  <c r="AJ128"/>
  <c r="AK128"/>
  <c r="AL128"/>
  <c r="AO128"/>
  <c r="AP128"/>
  <c r="AX128" s="1"/>
  <c r="AV128"/>
  <c r="AW128"/>
  <c r="BD128"/>
  <c r="BF128"/>
  <c r="BH128"/>
  <c r="AD128" s="1"/>
  <c r="BI128"/>
  <c r="AE128" s="1"/>
  <c r="BJ128"/>
  <c r="H132"/>
  <c r="H133"/>
  <c r="I133"/>
  <c r="I132" s="1"/>
  <c r="J133"/>
  <c r="AB133"/>
  <c r="AC133"/>
  <c r="AF133"/>
  <c r="AG133"/>
  <c r="AH133"/>
  <c r="AO133"/>
  <c r="AP133"/>
  <c r="AW133"/>
  <c r="AX133"/>
  <c r="BD133"/>
  <c r="BF133"/>
  <c r="BH133"/>
  <c r="AD133" s="1"/>
  <c r="BI133"/>
  <c r="AE133" s="1"/>
  <c r="BJ133"/>
  <c r="Z133" s="1"/>
  <c r="I135"/>
  <c r="I136"/>
  <c r="J136"/>
  <c r="Z136"/>
  <c r="AC136"/>
  <c r="AD136"/>
  <c r="AG136"/>
  <c r="AH136"/>
  <c r="AJ136"/>
  <c r="AS135" s="1"/>
  <c r="AO136"/>
  <c r="AP136"/>
  <c r="AX136"/>
  <c r="BD136"/>
  <c r="BF136"/>
  <c r="BH136"/>
  <c r="BI136"/>
  <c r="AE136" s="1"/>
  <c r="BJ136"/>
  <c r="J139"/>
  <c r="J140"/>
  <c r="AL140" s="1"/>
  <c r="AU139" s="1"/>
  <c r="Z140"/>
  <c r="AB140"/>
  <c r="AH140"/>
  <c r="AJ140"/>
  <c r="AS139" s="1"/>
  <c r="AK140"/>
  <c r="AT139" s="1"/>
  <c r="AO140"/>
  <c r="H140" s="1"/>
  <c r="H139" s="1"/>
  <c r="AP140"/>
  <c r="AW140"/>
  <c r="BD140"/>
  <c r="BF140"/>
  <c r="BH140"/>
  <c r="AF140" s="1"/>
  <c r="BJ140"/>
  <c r="J142"/>
  <c r="H143"/>
  <c r="J143"/>
  <c r="AJ143" s="1"/>
  <c r="AB143"/>
  <c r="AC143"/>
  <c r="AF143"/>
  <c r="AK143"/>
  <c r="AL143"/>
  <c r="AO143"/>
  <c r="AP143"/>
  <c r="I143" s="1"/>
  <c r="AV143"/>
  <c r="AW143"/>
  <c r="AX143"/>
  <c r="BC143" s="1"/>
  <c r="BD143"/>
  <c r="BF143"/>
  <c r="BH143"/>
  <c r="AD143" s="1"/>
  <c r="BI143"/>
  <c r="AG143" s="1"/>
  <c r="BJ143"/>
  <c r="J147"/>
  <c r="AL147" s="1"/>
  <c r="Z147"/>
  <c r="AB147"/>
  <c r="AH147"/>
  <c r="AJ147"/>
  <c r="AK147"/>
  <c r="AO147"/>
  <c r="H147" s="1"/>
  <c r="AP147"/>
  <c r="AW147"/>
  <c r="BD147"/>
  <c r="BF147"/>
  <c r="BH147"/>
  <c r="AF147" s="1"/>
  <c r="BI147"/>
  <c r="AE147" s="1"/>
  <c r="BJ147"/>
  <c r="I150"/>
  <c r="J150"/>
  <c r="Z150"/>
  <c r="AC150"/>
  <c r="AG150"/>
  <c r="AH150"/>
  <c r="AJ150"/>
  <c r="AO150"/>
  <c r="AP150"/>
  <c r="AX150"/>
  <c r="BD150"/>
  <c r="BF150"/>
  <c r="BH150"/>
  <c r="BI150"/>
  <c r="AE150" s="1"/>
  <c r="BJ150"/>
  <c r="H153"/>
  <c r="I153"/>
  <c r="J153"/>
  <c r="AB153"/>
  <c r="AC153"/>
  <c r="AF153"/>
  <c r="AG153"/>
  <c r="AH153"/>
  <c r="AL153"/>
  <c r="AO153"/>
  <c r="AP153"/>
  <c r="AW153"/>
  <c r="AX153"/>
  <c r="BD153"/>
  <c r="BF153"/>
  <c r="BH153"/>
  <c r="AD153" s="1"/>
  <c r="BI153"/>
  <c r="AE153" s="1"/>
  <c r="BJ153"/>
  <c r="Z153" s="1"/>
  <c r="H155"/>
  <c r="I155"/>
  <c r="J155"/>
  <c r="AB155"/>
  <c r="AF155"/>
  <c r="AG155"/>
  <c r="AJ155"/>
  <c r="AK155"/>
  <c r="AL155"/>
  <c r="AO155"/>
  <c r="AP155"/>
  <c r="AX155" s="1"/>
  <c r="AV155" s="1"/>
  <c r="AW155"/>
  <c r="BD155"/>
  <c r="BF155"/>
  <c r="BH155"/>
  <c r="AD155" s="1"/>
  <c r="BI155"/>
  <c r="AE155" s="1"/>
  <c r="BJ155"/>
  <c r="H158"/>
  <c r="H159"/>
  <c r="I159"/>
  <c r="I158" s="1"/>
  <c r="J159"/>
  <c r="AB159"/>
  <c r="AC159"/>
  <c r="AF159"/>
  <c r="AG159"/>
  <c r="AH159"/>
  <c r="AL159"/>
  <c r="AU158" s="1"/>
  <c r="AO159"/>
  <c r="AP159"/>
  <c r="AW159"/>
  <c r="AX159"/>
  <c r="BD159"/>
  <c r="BF159"/>
  <c r="BH159"/>
  <c r="AD159" s="1"/>
  <c r="BI159"/>
  <c r="AE159" s="1"/>
  <c r="BJ159"/>
  <c r="Z159" s="1"/>
  <c r="I164"/>
  <c r="J164"/>
  <c r="Z164"/>
  <c r="AC164"/>
  <c r="AD164"/>
  <c r="AG164"/>
  <c r="AH164"/>
  <c r="AO164"/>
  <c r="AP164"/>
  <c r="AX164"/>
  <c r="BD164"/>
  <c r="BF164"/>
  <c r="BH164"/>
  <c r="BI164"/>
  <c r="AE164" s="1"/>
  <c r="BJ164"/>
  <c r="H166"/>
  <c r="I166"/>
  <c r="J166"/>
  <c r="AB166"/>
  <c r="AC166"/>
  <c r="AF166"/>
  <c r="AG166"/>
  <c r="AH166"/>
  <c r="AL166"/>
  <c r="AO166"/>
  <c r="AP166"/>
  <c r="AW166"/>
  <c r="AX166"/>
  <c r="BD166"/>
  <c r="BF166"/>
  <c r="BH166"/>
  <c r="AD166" s="1"/>
  <c r="BI166"/>
  <c r="AE166" s="1"/>
  <c r="BJ166"/>
  <c r="Z166" s="1"/>
  <c r="H168"/>
  <c r="I168"/>
  <c r="J168"/>
  <c r="AB168"/>
  <c r="AF168"/>
  <c r="AG168"/>
  <c r="AJ168"/>
  <c r="AK168"/>
  <c r="AL168"/>
  <c r="AO168"/>
  <c r="AP168"/>
  <c r="AX168" s="1"/>
  <c r="AV168"/>
  <c r="AW168"/>
  <c r="BC168"/>
  <c r="BD168"/>
  <c r="BF168"/>
  <c r="BH168"/>
  <c r="AD168" s="1"/>
  <c r="BI168"/>
  <c r="AE168" s="1"/>
  <c r="BJ168"/>
  <c r="AH168" s="1"/>
  <c r="H170"/>
  <c r="J170"/>
  <c r="Z170"/>
  <c r="AF170"/>
  <c r="AH170"/>
  <c r="AJ170"/>
  <c r="AO170"/>
  <c r="AW170" s="1"/>
  <c r="AV170" s="1"/>
  <c r="AP170"/>
  <c r="I170" s="1"/>
  <c r="AX170"/>
  <c r="BC170" s="1"/>
  <c r="BD170"/>
  <c r="BF170"/>
  <c r="BH170"/>
  <c r="AD170" s="1"/>
  <c r="BJ170"/>
  <c r="J172"/>
  <c r="Z172"/>
  <c r="AD172"/>
  <c r="AE172"/>
  <c r="AG172"/>
  <c r="AH172"/>
  <c r="AO172"/>
  <c r="H172" s="1"/>
  <c r="AP172"/>
  <c r="I172" s="1"/>
  <c r="AW172"/>
  <c r="AX172"/>
  <c r="BD172"/>
  <c r="BF172"/>
  <c r="BH172"/>
  <c r="BI172"/>
  <c r="AC172" s="1"/>
  <c r="BJ172"/>
  <c r="I174"/>
  <c r="J174"/>
  <c r="AC174"/>
  <c r="AG174"/>
  <c r="AJ174"/>
  <c r="AK174"/>
  <c r="AL174"/>
  <c r="AO174"/>
  <c r="H174" s="1"/>
  <c r="AP174"/>
  <c r="AX174"/>
  <c r="BD174"/>
  <c r="BF174"/>
  <c r="BH174"/>
  <c r="AB174" s="1"/>
  <c r="BI174"/>
  <c r="AE174" s="1"/>
  <c r="BJ174"/>
  <c r="J177"/>
  <c r="Z177"/>
  <c r="AD177"/>
  <c r="AE177"/>
  <c r="AG177"/>
  <c r="AH177"/>
  <c r="AO177"/>
  <c r="H177" s="1"/>
  <c r="AP177"/>
  <c r="I177" s="1"/>
  <c r="I176" s="1"/>
  <c r="AX177"/>
  <c r="BD177"/>
  <c r="BF177"/>
  <c r="BH177"/>
  <c r="BI177"/>
  <c r="AC177" s="1"/>
  <c r="BJ177"/>
  <c r="I181"/>
  <c r="J181"/>
  <c r="AC181"/>
  <c r="AG181"/>
  <c r="AJ181"/>
  <c r="AK181"/>
  <c r="AL181"/>
  <c r="AO181"/>
  <c r="BH181" s="1"/>
  <c r="AP181"/>
  <c r="AX181"/>
  <c r="BD181"/>
  <c r="BF181"/>
  <c r="BI181"/>
  <c r="AE181" s="1"/>
  <c r="BJ181"/>
  <c r="J184"/>
  <c r="Z184"/>
  <c r="AD184"/>
  <c r="AE184"/>
  <c r="AG184"/>
  <c r="AH184"/>
  <c r="AO184"/>
  <c r="H184" s="1"/>
  <c r="AP184"/>
  <c r="AX184" s="1"/>
  <c r="BD184"/>
  <c r="BF184"/>
  <c r="BH184"/>
  <c r="BI184"/>
  <c r="AC184" s="1"/>
  <c r="BJ184"/>
  <c r="H189"/>
  <c r="I189"/>
  <c r="J189"/>
  <c r="AC189"/>
  <c r="AD189"/>
  <c r="AF189"/>
  <c r="AG189"/>
  <c r="AJ189"/>
  <c r="AK189"/>
  <c r="AL189"/>
  <c r="AO189"/>
  <c r="AP189"/>
  <c r="AV189"/>
  <c r="AW189"/>
  <c r="BC189" s="1"/>
  <c r="AX189"/>
  <c r="BD189"/>
  <c r="BF189"/>
  <c r="BH189"/>
  <c r="AB189" s="1"/>
  <c r="BI189"/>
  <c r="AE189" s="1"/>
  <c r="BJ189"/>
  <c r="H190"/>
  <c r="J190"/>
  <c r="AJ190" s="1"/>
  <c r="AB190"/>
  <c r="AF190"/>
  <c r="AK190"/>
  <c r="AL190"/>
  <c r="AO190"/>
  <c r="AP190"/>
  <c r="AW190"/>
  <c r="BD190"/>
  <c r="BF190"/>
  <c r="BH190"/>
  <c r="AD190" s="1"/>
  <c r="BI190"/>
  <c r="AG190" s="1"/>
  <c r="BJ190"/>
  <c r="J191"/>
  <c r="AL191" s="1"/>
  <c r="Z191"/>
  <c r="AH191"/>
  <c r="AJ191"/>
  <c r="AK191"/>
  <c r="AO191"/>
  <c r="AP191"/>
  <c r="BD191"/>
  <c r="BF191"/>
  <c r="BI191"/>
  <c r="AE191" s="1"/>
  <c r="BJ191"/>
  <c r="I192"/>
  <c r="J192"/>
  <c r="AK192" s="1"/>
  <c r="Z192"/>
  <c r="AC192"/>
  <c r="AG192"/>
  <c r="AH192"/>
  <c r="AJ192"/>
  <c r="AL192"/>
  <c r="AO192"/>
  <c r="AP192"/>
  <c r="AX192"/>
  <c r="BD192"/>
  <c r="BF192"/>
  <c r="BH192"/>
  <c r="BI192"/>
  <c r="AE192" s="1"/>
  <c r="BJ192"/>
  <c r="H193"/>
  <c r="I193"/>
  <c r="J193"/>
  <c r="AJ193" s="1"/>
  <c r="AB193"/>
  <c r="AC193"/>
  <c r="AF193"/>
  <c r="AG193"/>
  <c r="AH193"/>
  <c r="AK193"/>
  <c r="AO193"/>
  <c r="AP193"/>
  <c r="AW193"/>
  <c r="AX193"/>
  <c r="BD193"/>
  <c r="BF193"/>
  <c r="BH193"/>
  <c r="AD193" s="1"/>
  <c r="BI193"/>
  <c r="AE193" s="1"/>
  <c r="BJ193"/>
  <c r="Z193" s="1"/>
  <c r="H201"/>
  <c r="I201"/>
  <c r="J201"/>
  <c r="AB201"/>
  <c r="AF201"/>
  <c r="AG201"/>
  <c r="AJ201"/>
  <c r="AK201"/>
  <c r="AL201"/>
  <c r="AO201"/>
  <c r="AP201"/>
  <c r="AX201" s="1"/>
  <c r="AV201" s="1"/>
  <c r="AW201"/>
  <c r="BC201" s="1"/>
  <c r="BD201"/>
  <c r="BF201"/>
  <c r="BH201"/>
  <c r="AD201" s="1"/>
  <c r="BI201"/>
  <c r="AE201" s="1"/>
  <c r="BJ201"/>
  <c r="AH201" s="1"/>
  <c r="H202"/>
  <c r="J202"/>
  <c r="AF202"/>
  <c r="AH202"/>
  <c r="AJ202"/>
  <c r="AO202"/>
  <c r="AW202" s="1"/>
  <c r="AP202"/>
  <c r="I202" s="1"/>
  <c r="BD202"/>
  <c r="BF202"/>
  <c r="BH202"/>
  <c r="AD202" s="1"/>
  <c r="BI202"/>
  <c r="AE202" s="1"/>
  <c r="BJ202"/>
  <c r="Z202" s="1"/>
  <c r="J203"/>
  <c r="Z203"/>
  <c r="AE203"/>
  <c r="AG203"/>
  <c r="AH203"/>
  <c r="AO203"/>
  <c r="H203" s="1"/>
  <c r="AP203"/>
  <c r="AX203" s="1"/>
  <c r="BD203"/>
  <c r="BF203"/>
  <c r="BH203"/>
  <c r="BI203"/>
  <c r="AC203" s="1"/>
  <c r="BJ203"/>
  <c r="H204"/>
  <c r="I204"/>
  <c r="J204"/>
  <c r="AC204"/>
  <c r="AG204"/>
  <c r="AJ204"/>
  <c r="AK204"/>
  <c r="AL204"/>
  <c r="AO204"/>
  <c r="BH204" s="1"/>
  <c r="AP204"/>
  <c r="AV204"/>
  <c r="AW204"/>
  <c r="BC204" s="1"/>
  <c r="AX204"/>
  <c r="BD204"/>
  <c r="BF204"/>
  <c r="BI204"/>
  <c r="AE204" s="1"/>
  <c r="BJ204"/>
  <c r="H205"/>
  <c r="J205"/>
  <c r="AJ205" s="1"/>
  <c r="AB205"/>
  <c r="AF205"/>
  <c r="AK205"/>
  <c r="AL205"/>
  <c r="AO205"/>
  <c r="AP205"/>
  <c r="AW205"/>
  <c r="BD205"/>
  <c r="BF205"/>
  <c r="BH205"/>
  <c r="AD205" s="1"/>
  <c r="BJ205"/>
  <c r="J206"/>
  <c r="AL206" s="1"/>
  <c r="Z206"/>
  <c r="AH206"/>
  <c r="AJ206"/>
  <c r="AK206"/>
  <c r="AO206"/>
  <c r="AP206"/>
  <c r="BD206"/>
  <c r="BF206"/>
  <c r="BJ206"/>
  <c r="J207"/>
  <c r="AK207" s="1"/>
  <c r="Z207"/>
  <c r="AH207"/>
  <c r="AO207"/>
  <c r="AP207"/>
  <c r="I207" s="1"/>
  <c r="BD207"/>
  <c r="BF207"/>
  <c r="BJ207"/>
  <c r="I208"/>
  <c r="J208"/>
  <c r="AJ208" s="1"/>
  <c r="AC208"/>
  <c r="AG208"/>
  <c r="AH208"/>
  <c r="AK208"/>
  <c r="AL208"/>
  <c r="AO208"/>
  <c r="H208" s="1"/>
  <c r="AP208"/>
  <c r="AX208"/>
  <c r="BD208"/>
  <c r="BF208"/>
  <c r="BH208"/>
  <c r="AF208" s="1"/>
  <c r="BI208"/>
  <c r="AE208" s="1"/>
  <c r="BJ208"/>
  <c r="Z208" s="1"/>
  <c r="H211"/>
  <c r="I211"/>
  <c r="J211"/>
  <c r="Z211"/>
  <c r="AB211"/>
  <c r="AC211"/>
  <c r="AF211"/>
  <c r="AG211"/>
  <c r="AJ211"/>
  <c r="AK211"/>
  <c r="AL211"/>
  <c r="AO211"/>
  <c r="AP211"/>
  <c r="AX211" s="1"/>
  <c r="AV211"/>
  <c r="AW211"/>
  <c r="BC211" s="1"/>
  <c r="BD211"/>
  <c r="BF211"/>
  <c r="BH211"/>
  <c r="AD211" s="1"/>
  <c r="BI211"/>
  <c r="AE211" s="1"/>
  <c r="BJ211"/>
  <c r="AH211" s="1"/>
  <c r="H212"/>
  <c r="J212"/>
  <c r="AL212" s="1"/>
  <c r="AB212"/>
  <c r="AF212"/>
  <c r="AK212"/>
  <c r="AO212"/>
  <c r="AW212" s="1"/>
  <c r="AP212"/>
  <c r="I212" s="1"/>
  <c r="BD212"/>
  <c r="BF212"/>
  <c r="BH212"/>
  <c r="AD212" s="1"/>
  <c r="BI212"/>
  <c r="BJ212"/>
  <c r="AH212" s="1"/>
  <c r="I213"/>
  <c r="J213"/>
  <c r="Z213"/>
  <c r="AG213"/>
  <c r="AH213"/>
  <c r="AJ213"/>
  <c r="AO213"/>
  <c r="H213" s="1"/>
  <c r="AP213"/>
  <c r="AX213" s="1"/>
  <c r="BD213"/>
  <c r="BF213"/>
  <c r="BH213"/>
  <c r="BI213"/>
  <c r="AC213" s="1"/>
  <c r="BJ213"/>
  <c r="I216"/>
  <c r="J216"/>
  <c r="AC216"/>
  <c r="AG216"/>
  <c r="AH216"/>
  <c r="AL216"/>
  <c r="AO216"/>
  <c r="H216" s="1"/>
  <c r="AP216"/>
  <c r="AV216"/>
  <c r="AW216"/>
  <c r="BC216" s="1"/>
  <c r="AX216"/>
  <c r="BD216"/>
  <c r="BF216"/>
  <c r="BI216"/>
  <c r="AE216" s="1"/>
  <c r="BJ216"/>
  <c r="Z216" s="1"/>
  <c r="H217"/>
  <c r="I217"/>
  <c r="J217"/>
  <c r="AJ217" s="1"/>
  <c r="AB217"/>
  <c r="AF217"/>
  <c r="AK217"/>
  <c r="AL217"/>
  <c r="AO217"/>
  <c r="AP217"/>
  <c r="AX217" s="1"/>
  <c r="AV217" s="1"/>
  <c r="AW217"/>
  <c r="BD217"/>
  <c r="BF217"/>
  <c r="BH217"/>
  <c r="AD217" s="1"/>
  <c r="BI217"/>
  <c r="AG217" s="1"/>
  <c r="BJ217"/>
  <c r="H219"/>
  <c r="I219"/>
  <c r="J219"/>
  <c r="AC219"/>
  <c r="AD219"/>
  <c r="AF219"/>
  <c r="AG219"/>
  <c r="AO219"/>
  <c r="AP219"/>
  <c r="AV219"/>
  <c r="AW219"/>
  <c r="BC219" s="1"/>
  <c r="AX219"/>
  <c r="BD219"/>
  <c r="BF219"/>
  <c r="BH219"/>
  <c r="AB219" s="1"/>
  <c r="BI219"/>
  <c r="AE219" s="1"/>
  <c r="BJ219"/>
  <c r="Z219" s="1"/>
  <c r="H221"/>
  <c r="I221"/>
  <c r="J221"/>
  <c r="AJ221" s="1"/>
  <c r="AB221"/>
  <c r="AF221"/>
  <c r="AG221"/>
  <c r="AK221"/>
  <c r="AL221"/>
  <c r="AO221"/>
  <c r="AP221"/>
  <c r="AX221" s="1"/>
  <c r="AW221"/>
  <c r="AV221" s="1"/>
  <c r="BD221"/>
  <c r="BF221"/>
  <c r="BH221"/>
  <c r="AD221" s="1"/>
  <c r="BI221"/>
  <c r="AE221" s="1"/>
  <c r="BJ221"/>
  <c r="H223"/>
  <c r="J223"/>
  <c r="AL223" s="1"/>
  <c r="Z223"/>
  <c r="AD223"/>
  <c r="AE223"/>
  <c r="AF223"/>
  <c r="AJ223"/>
  <c r="AK223"/>
  <c r="AO223"/>
  <c r="AW223" s="1"/>
  <c r="AP223"/>
  <c r="BD223"/>
  <c r="BF223"/>
  <c r="BH223"/>
  <c r="AB223" s="1"/>
  <c r="BI223"/>
  <c r="BJ223"/>
  <c r="AH223" s="1"/>
  <c r="J225"/>
  <c r="AK225" s="1"/>
  <c r="AC225"/>
  <c r="AE225"/>
  <c r="AH225"/>
  <c r="AJ225"/>
  <c r="AO225"/>
  <c r="BH225" s="1"/>
  <c r="AP225"/>
  <c r="I225" s="1"/>
  <c r="AX225"/>
  <c r="BD225"/>
  <c r="BF225"/>
  <c r="BI225"/>
  <c r="AG225" s="1"/>
  <c r="BJ225"/>
  <c r="Z225" s="1"/>
  <c r="I227"/>
  <c r="J227"/>
  <c r="AJ227" s="1"/>
  <c r="AH227"/>
  <c r="AK227"/>
  <c r="AO227"/>
  <c r="H227" s="1"/>
  <c r="AP227"/>
  <c r="AX227" s="1"/>
  <c r="BD227"/>
  <c r="BF227"/>
  <c r="BH227"/>
  <c r="AF227" s="1"/>
  <c r="BI227"/>
  <c r="AG227" s="1"/>
  <c r="BJ227"/>
  <c r="Z227" s="1"/>
  <c r="H229"/>
  <c r="I229"/>
  <c r="J229"/>
  <c r="AC229"/>
  <c r="AD229"/>
  <c r="AF229"/>
  <c r="AG229"/>
  <c r="AJ229"/>
  <c r="AK229"/>
  <c r="AL229"/>
  <c r="AO229"/>
  <c r="AP229"/>
  <c r="AX229" s="1"/>
  <c r="AV229" s="1"/>
  <c r="AW229"/>
  <c r="BC229" s="1"/>
  <c r="BD229"/>
  <c r="BF229"/>
  <c r="BH229"/>
  <c r="AB229" s="1"/>
  <c r="BI229"/>
  <c r="AE229" s="1"/>
  <c r="BJ229"/>
  <c r="AH229" s="1"/>
  <c r="H232"/>
  <c r="J232"/>
  <c r="AL232" s="1"/>
  <c r="Z232"/>
  <c r="AB232"/>
  <c r="AF232"/>
  <c r="AH232"/>
  <c r="AJ232"/>
  <c r="AK232"/>
  <c r="AO232"/>
  <c r="AW232" s="1"/>
  <c r="AP232"/>
  <c r="I232" s="1"/>
  <c r="BD232"/>
  <c r="BF232"/>
  <c r="BH232"/>
  <c r="AD232" s="1"/>
  <c r="BI232"/>
  <c r="AG232" s="1"/>
  <c r="BJ232"/>
  <c r="J234"/>
  <c r="AL234" s="1"/>
  <c r="Z234"/>
  <c r="AH234"/>
  <c r="AJ234"/>
  <c r="AK234"/>
  <c r="AO234"/>
  <c r="H234" s="1"/>
  <c r="AP234"/>
  <c r="I234" s="1"/>
  <c r="BD234"/>
  <c r="BF234"/>
  <c r="BI234"/>
  <c r="AC234" s="1"/>
  <c r="BJ234"/>
  <c r="H236"/>
  <c r="H237"/>
  <c r="J237"/>
  <c r="AJ237" s="1"/>
  <c r="AS236" s="1"/>
  <c r="Z237"/>
  <c r="AB237"/>
  <c r="AF237"/>
  <c r="AK237"/>
  <c r="AT236" s="1"/>
  <c r="AO237"/>
  <c r="AW237" s="1"/>
  <c r="AP237"/>
  <c r="I237" s="1"/>
  <c r="I236" s="1"/>
  <c r="BD237"/>
  <c r="BF237"/>
  <c r="BH237"/>
  <c r="AD237" s="1"/>
  <c r="BI237"/>
  <c r="AG237" s="1"/>
  <c r="BJ237"/>
  <c r="AH237" s="1"/>
  <c r="I239"/>
  <c r="J239"/>
  <c r="AL239" s="1"/>
  <c r="Z239"/>
  <c r="AE239"/>
  <c r="AG239"/>
  <c r="AH239"/>
  <c r="AJ239"/>
  <c r="AK239"/>
  <c r="AO239"/>
  <c r="H239" s="1"/>
  <c r="AP239"/>
  <c r="AW239"/>
  <c r="AV239" s="1"/>
  <c r="AX239"/>
  <c r="BD239"/>
  <c r="BF239"/>
  <c r="BI239"/>
  <c r="AC239" s="1"/>
  <c r="BJ239"/>
  <c r="H242"/>
  <c r="J242"/>
  <c r="AL242" s="1"/>
  <c r="AU241" s="1"/>
  <c r="AB242"/>
  <c r="AF242"/>
  <c r="AK242"/>
  <c r="AO242"/>
  <c r="AW242" s="1"/>
  <c r="AP242"/>
  <c r="I242" s="1"/>
  <c r="I241" s="1"/>
  <c r="BD242"/>
  <c r="BF242"/>
  <c r="BH242"/>
  <c r="AD242" s="1"/>
  <c r="BI242"/>
  <c r="AG242" s="1"/>
  <c r="BJ242"/>
  <c r="Z242" s="1"/>
  <c r="I244"/>
  <c r="J244"/>
  <c r="AL244" s="1"/>
  <c r="Z244"/>
  <c r="AG244"/>
  <c r="AH244"/>
  <c r="AJ244"/>
  <c r="AK244"/>
  <c r="AO244"/>
  <c r="H244" s="1"/>
  <c r="AP244"/>
  <c r="AX244" s="1"/>
  <c r="BD244"/>
  <c r="BF244"/>
  <c r="BH244"/>
  <c r="AF244" s="1"/>
  <c r="BI244"/>
  <c r="AC244" s="1"/>
  <c r="BJ244"/>
  <c r="I246"/>
  <c r="J246"/>
  <c r="AK246" s="1"/>
  <c r="Z246"/>
  <c r="AC246"/>
  <c r="AG246"/>
  <c r="AL246"/>
  <c r="AO246"/>
  <c r="H246" s="1"/>
  <c r="H241" s="1"/>
  <c r="AP246"/>
  <c r="AX246"/>
  <c r="BD246"/>
  <c r="BF246"/>
  <c r="BH246"/>
  <c r="AB246" s="1"/>
  <c r="BI246"/>
  <c r="AE246" s="1"/>
  <c r="BJ246"/>
  <c r="AH246" s="1"/>
  <c r="H248"/>
  <c r="I249"/>
  <c r="I248" s="1"/>
  <c r="J249"/>
  <c r="AK249" s="1"/>
  <c r="AT248" s="1"/>
  <c r="Z249"/>
  <c r="AE249"/>
  <c r="AG249"/>
  <c r="AH249"/>
  <c r="AJ249"/>
  <c r="AS248" s="1"/>
  <c r="AO249"/>
  <c r="H249" s="1"/>
  <c r="AP249"/>
  <c r="AW249"/>
  <c r="AV249" s="1"/>
  <c r="AX249"/>
  <c r="BD249"/>
  <c r="BF249"/>
  <c r="BI249"/>
  <c r="AC249" s="1"/>
  <c r="BJ249"/>
  <c r="I251"/>
  <c r="J251"/>
  <c r="AS251"/>
  <c r="J252"/>
  <c r="Z252"/>
  <c r="AJ252"/>
  <c r="AK252"/>
  <c r="AT251" s="1"/>
  <c r="AL252"/>
  <c r="AU251" s="1"/>
  <c r="AO252"/>
  <c r="AW252" s="1"/>
  <c r="AP252"/>
  <c r="I252" s="1"/>
  <c r="BD252"/>
  <c r="BF252"/>
  <c r="BH252"/>
  <c r="AD252" s="1"/>
  <c r="BI252"/>
  <c r="AG252" s="1"/>
  <c r="BJ252"/>
  <c r="AH252" s="1"/>
  <c r="J255"/>
  <c r="AU255"/>
  <c r="H256"/>
  <c r="H255" s="1"/>
  <c r="I256"/>
  <c r="I255" s="1"/>
  <c r="J256"/>
  <c r="Z256"/>
  <c r="AE256"/>
  <c r="AG256"/>
  <c r="AJ256"/>
  <c r="AS255" s="1"/>
  <c r="AK256"/>
  <c r="AT255" s="1"/>
  <c r="AL256"/>
  <c r="AO256"/>
  <c r="BH256" s="1"/>
  <c r="AP256"/>
  <c r="AX256" s="1"/>
  <c r="AV256"/>
  <c r="AW256"/>
  <c r="BC256" s="1"/>
  <c r="BD256"/>
  <c r="BF256"/>
  <c r="BI256"/>
  <c r="AC256" s="1"/>
  <c r="BJ256"/>
  <c r="AH256" s="1"/>
  <c r="J262"/>
  <c r="AS262"/>
  <c r="AT262"/>
  <c r="J263"/>
  <c r="AJ263" s="1"/>
  <c r="AK263"/>
  <c r="AL263"/>
  <c r="AU262" s="1"/>
  <c r="AO263"/>
  <c r="H263" s="1"/>
  <c r="H262" s="1"/>
  <c r="AP263"/>
  <c r="I263" s="1"/>
  <c r="I262" s="1"/>
  <c r="BD263"/>
  <c r="BF263"/>
  <c r="BH263"/>
  <c r="AF263" s="1"/>
  <c r="BI263"/>
  <c r="AE263" s="1"/>
  <c r="BJ263"/>
  <c r="Z263" s="1"/>
  <c r="H266"/>
  <c r="H265" s="1"/>
  <c r="I266"/>
  <c r="I265" s="1"/>
  <c r="J266"/>
  <c r="Z266"/>
  <c r="AC266"/>
  <c r="AE266"/>
  <c r="AG266"/>
  <c r="AH266"/>
  <c r="AJ266"/>
  <c r="AS265" s="1"/>
  <c r="AO266"/>
  <c r="AW266" s="1"/>
  <c r="AP266"/>
  <c r="AX266"/>
  <c r="BD266"/>
  <c r="BF266"/>
  <c r="BI266"/>
  <c r="BJ266"/>
  <c r="J268"/>
  <c r="AU268"/>
  <c r="J269"/>
  <c r="AL269" s="1"/>
  <c r="AJ269"/>
  <c r="AS268" s="1"/>
  <c r="AO269"/>
  <c r="H269" s="1"/>
  <c r="H268" s="1"/>
  <c r="AP269"/>
  <c r="AX269" s="1"/>
  <c r="BD269"/>
  <c r="BF269"/>
  <c r="BH269"/>
  <c r="AB269" s="1"/>
  <c r="BI269"/>
  <c r="AC269" s="1"/>
  <c r="BJ269"/>
  <c r="Z269" s="1"/>
  <c r="H272"/>
  <c r="H271" s="1"/>
  <c r="I272"/>
  <c r="I271" s="1"/>
  <c r="J272"/>
  <c r="AL272" s="1"/>
  <c r="AU271" s="1"/>
  <c r="Z272"/>
  <c r="AB272"/>
  <c r="AF272"/>
  <c r="AG272"/>
  <c r="AH272"/>
  <c r="AJ272"/>
  <c r="AS271" s="1"/>
  <c r="AO272"/>
  <c r="AP272"/>
  <c r="AW272"/>
  <c r="AV272" s="1"/>
  <c r="AX272"/>
  <c r="BD272"/>
  <c r="BF272"/>
  <c r="BH272"/>
  <c r="AD272" s="1"/>
  <c r="BI272"/>
  <c r="AE272" s="1"/>
  <c r="BJ272"/>
  <c r="J274"/>
  <c r="AS274"/>
  <c r="I275"/>
  <c r="J275"/>
  <c r="Z275"/>
  <c r="AB275"/>
  <c r="AC275"/>
  <c r="AG275"/>
  <c r="AJ275"/>
  <c r="AK275"/>
  <c r="AT274" s="1"/>
  <c r="AL275"/>
  <c r="AO275"/>
  <c r="H275" s="1"/>
  <c r="AP275"/>
  <c r="AX275"/>
  <c r="BD275"/>
  <c r="BF275"/>
  <c r="BH275"/>
  <c r="AF275" s="1"/>
  <c r="BI275"/>
  <c r="AE275" s="1"/>
  <c r="BJ275"/>
  <c r="AH275" s="1"/>
  <c r="H278"/>
  <c r="J278"/>
  <c r="Z278"/>
  <c r="AB278"/>
  <c r="AC278"/>
  <c r="AF278"/>
  <c r="AJ278"/>
  <c r="AK278"/>
  <c r="AL278"/>
  <c r="AO278"/>
  <c r="AP278"/>
  <c r="I278" s="1"/>
  <c r="AW278"/>
  <c r="BD278"/>
  <c r="BF278"/>
  <c r="BH278"/>
  <c r="AD278" s="1"/>
  <c r="BI278"/>
  <c r="AE278" s="1"/>
  <c r="BJ278"/>
  <c r="AH278" s="1"/>
  <c r="J279"/>
  <c r="AL279" s="1"/>
  <c r="Z279"/>
  <c r="AJ279"/>
  <c r="AK279"/>
  <c r="AO279"/>
  <c r="AW279" s="1"/>
  <c r="AP279"/>
  <c r="I279" s="1"/>
  <c r="BD279"/>
  <c r="BF279"/>
  <c r="BH279"/>
  <c r="AD279" s="1"/>
  <c r="BJ279"/>
  <c r="AH279" s="1"/>
  <c r="H281"/>
  <c r="H280" s="1"/>
  <c r="I281"/>
  <c r="I280" s="1"/>
  <c r="J281"/>
  <c r="J280" s="1"/>
  <c r="AB281"/>
  <c r="AC281"/>
  <c r="AF281"/>
  <c r="AG281"/>
  <c r="AO281"/>
  <c r="AP281"/>
  <c r="AV281"/>
  <c r="AW281"/>
  <c r="BC281" s="1"/>
  <c r="AX281"/>
  <c r="BD281"/>
  <c r="BF281"/>
  <c r="BH281"/>
  <c r="AD281" s="1"/>
  <c r="BI281"/>
  <c r="AE281" s="1"/>
  <c r="BJ281"/>
  <c r="AH281" s="1"/>
  <c r="I284"/>
  <c r="J284"/>
  <c r="AL284" s="1"/>
  <c r="Z284"/>
  <c r="AB284"/>
  <c r="AC284"/>
  <c r="AG284"/>
  <c r="AJ284"/>
  <c r="AO284"/>
  <c r="H284" s="1"/>
  <c r="AP284"/>
  <c r="AX284"/>
  <c r="BD284"/>
  <c r="BF284"/>
  <c r="BH284"/>
  <c r="AD284" s="1"/>
  <c r="BI284"/>
  <c r="AE284" s="1"/>
  <c r="BJ284"/>
  <c r="AH284" s="1"/>
  <c r="H286"/>
  <c r="J286"/>
  <c r="AL286" s="1"/>
  <c r="Z286"/>
  <c r="AB286"/>
  <c r="AC286"/>
  <c r="AF286"/>
  <c r="AJ286"/>
  <c r="AO286"/>
  <c r="AP286"/>
  <c r="I286" s="1"/>
  <c r="AW286"/>
  <c r="BD286"/>
  <c r="BF286"/>
  <c r="BH286"/>
  <c r="AD286" s="1"/>
  <c r="BI286"/>
  <c r="AG286" s="1"/>
  <c r="BJ286"/>
  <c r="AH286" s="1"/>
  <c r="J288"/>
  <c r="AL288" s="1"/>
  <c r="Z288"/>
  <c r="AJ288"/>
  <c r="AO288"/>
  <c r="H288" s="1"/>
  <c r="AP288"/>
  <c r="I288" s="1"/>
  <c r="BD288"/>
  <c r="BF288"/>
  <c r="BH288"/>
  <c r="AD288" s="1"/>
  <c r="BI288"/>
  <c r="AC288" s="1"/>
  <c r="BJ288"/>
  <c r="AH288" s="1"/>
  <c r="J290"/>
  <c r="AK290" s="1"/>
  <c r="Z290"/>
  <c r="AC290"/>
  <c r="AJ290"/>
  <c r="AL290"/>
  <c r="AO290"/>
  <c r="H290" s="1"/>
  <c r="AP290"/>
  <c r="I290" s="1"/>
  <c r="BD290"/>
  <c r="BF290"/>
  <c r="BH290"/>
  <c r="AB290" s="1"/>
  <c r="BI290"/>
  <c r="AE290" s="1"/>
  <c r="BJ290"/>
  <c r="AH290" s="1"/>
  <c r="J292"/>
  <c r="AJ292" s="1"/>
  <c r="AK292"/>
  <c r="AO292"/>
  <c r="BH292" s="1"/>
  <c r="AP292"/>
  <c r="AX292" s="1"/>
  <c r="BD292"/>
  <c r="BF292"/>
  <c r="BI292"/>
  <c r="AG292" s="1"/>
  <c r="BJ292"/>
  <c r="Z292" s="1"/>
  <c r="J294"/>
  <c r="AL294" s="1"/>
  <c r="AO294"/>
  <c r="H294" s="1"/>
  <c r="AP294"/>
  <c r="AX294" s="1"/>
  <c r="BD294"/>
  <c r="BF294"/>
  <c r="BI294"/>
  <c r="AC294" s="1"/>
  <c r="BJ294"/>
  <c r="AH294" s="1"/>
  <c r="H297"/>
  <c r="J297"/>
  <c r="AJ297" s="1"/>
  <c r="AF297"/>
  <c r="AO297"/>
  <c r="AP297"/>
  <c r="AX297" s="1"/>
  <c r="AV297" s="1"/>
  <c r="AW297"/>
  <c r="BD297"/>
  <c r="BF297"/>
  <c r="BH297"/>
  <c r="AD297" s="1"/>
  <c r="BI297"/>
  <c r="AC297" s="1"/>
  <c r="BJ297"/>
  <c r="AH297" s="1"/>
  <c r="J298"/>
  <c r="AL298" s="1"/>
  <c r="AO298"/>
  <c r="AW298" s="1"/>
  <c r="AP298"/>
  <c r="AX298" s="1"/>
  <c r="BD298"/>
  <c r="BF298"/>
  <c r="BH298"/>
  <c r="AD298" s="1"/>
  <c r="BI298"/>
  <c r="AC298" s="1"/>
  <c r="BJ298"/>
  <c r="AH298" s="1"/>
  <c r="J299"/>
  <c r="AK299" s="1"/>
  <c r="AJ299"/>
  <c r="AL299"/>
  <c r="AO299"/>
  <c r="AW299" s="1"/>
  <c r="AP299"/>
  <c r="AX299" s="1"/>
  <c r="BD299"/>
  <c r="BF299"/>
  <c r="BH299"/>
  <c r="AB299" s="1"/>
  <c r="BJ299"/>
  <c r="Z299" s="1"/>
  <c r="C2" i="2"/>
  <c r="F2"/>
  <c r="C4"/>
  <c r="F4"/>
  <c r="C6"/>
  <c r="F6"/>
  <c r="C8"/>
  <c r="F8"/>
  <c r="C10"/>
  <c r="F10"/>
  <c r="I10"/>
  <c r="F14"/>
  <c r="F22" s="1"/>
  <c r="I14"/>
  <c r="I16"/>
  <c r="I17"/>
  <c r="I18"/>
  <c r="C2" i="3"/>
  <c r="F2"/>
  <c r="C4"/>
  <c r="F4"/>
  <c r="C6"/>
  <c r="F6"/>
  <c r="C8"/>
  <c r="F8"/>
  <c r="C10"/>
  <c r="F10"/>
  <c r="I10"/>
  <c r="I15"/>
  <c r="I16"/>
  <c r="F15" i="2" s="1"/>
  <c r="I17" i="3"/>
  <c r="F16" i="2" s="1"/>
  <c r="I21" i="3"/>
  <c r="I22"/>
  <c r="I15" i="2" s="1"/>
  <c r="I23" i="3"/>
  <c r="I24"/>
  <c r="I25"/>
  <c r="I26"/>
  <c r="I19" i="2" s="1"/>
  <c r="I35" i="3"/>
  <c r="I36" s="1"/>
  <c r="I24" i="2" s="1"/>
  <c r="AB204" i="1" l="1"/>
  <c r="AD204"/>
  <c r="AF204"/>
  <c r="AV266"/>
  <c r="BC266"/>
  <c r="AB292"/>
  <c r="AD292"/>
  <c r="AF292"/>
  <c r="AB181"/>
  <c r="AD181"/>
  <c r="AF181"/>
  <c r="AT77"/>
  <c r="BC252"/>
  <c r="AV232"/>
  <c r="BC118"/>
  <c r="BC42"/>
  <c r="I274"/>
  <c r="AB18"/>
  <c r="AF18"/>
  <c r="AD18"/>
  <c r="AV298"/>
  <c r="BC298"/>
  <c r="AD256"/>
  <c r="AB256"/>
  <c r="AF256"/>
  <c r="I163"/>
  <c r="I22" i="2"/>
  <c r="BC297" i="1"/>
  <c r="AV286"/>
  <c r="BC299"/>
  <c r="AV299"/>
  <c r="BC279"/>
  <c r="AV279"/>
  <c r="AF225"/>
  <c r="AB225"/>
  <c r="AD225"/>
  <c r="AC113"/>
  <c r="AG113"/>
  <c r="AE113"/>
  <c r="AU283"/>
  <c r="BC108"/>
  <c r="AV193"/>
  <c r="BC193"/>
  <c r="AL172"/>
  <c r="AK172"/>
  <c r="AJ172"/>
  <c r="AL164"/>
  <c r="AU163" s="1"/>
  <c r="J163"/>
  <c r="AK164"/>
  <c r="AX140"/>
  <c r="BC140" s="1"/>
  <c r="I140"/>
  <c r="I139" s="1"/>
  <c r="AW102"/>
  <c r="H102"/>
  <c r="H101" s="1"/>
  <c r="AL69"/>
  <c r="AK69"/>
  <c r="AJ69"/>
  <c r="AV62"/>
  <c r="BC62"/>
  <c r="AW13"/>
  <c r="H13"/>
  <c r="H12" s="1"/>
  <c r="AC212"/>
  <c r="AG212"/>
  <c r="AX205"/>
  <c r="I205"/>
  <c r="Z190"/>
  <c r="AH190"/>
  <c r="J132"/>
  <c r="AK133"/>
  <c r="AT132" s="1"/>
  <c r="AJ133"/>
  <c r="AS132" s="1"/>
  <c r="AL102"/>
  <c r="AU101" s="1"/>
  <c r="J101"/>
  <c r="AK102"/>
  <c r="AW44"/>
  <c r="H44"/>
  <c r="H37" s="1"/>
  <c r="Z217"/>
  <c r="AH217"/>
  <c r="AB213"/>
  <c r="AF213"/>
  <c r="AB184"/>
  <c r="AF184"/>
  <c r="AF136"/>
  <c r="AB136"/>
  <c r="AG29"/>
  <c r="AC29"/>
  <c r="AX191"/>
  <c r="I191"/>
  <c r="AV166"/>
  <c r="BC166"/>
  <c r="AX147"/>
  <c r="BC147" s="1"/>
  <c r="I147"/>
  <c r="I142" s="1"/>
  <c r="AX118"/>
  <c r="I118"/>
  <c r="Z84"/>
  <c r="AH84"/>
  <c r="AG223"/>
  <c r="AC223"/>
  <c r="J158"/>
  <c r="AK159"/>
  <c r="AT158" s="1"/>
  <c r="AJ159"/>
  <c r="AS158" s="1"/>
  <c r="AL150"/>
  <c r="AK150"/>
  <c r="AW136"/>
  <c r="H136"/>
  <c r="H135" s="1"/>
  <c r="Z128"/>
  <c r="AH128"/>
  <c r="AV124"/>
  <c r="BC124"/>
  <c r="Z106"/>
  <c r="AH106"/>
  <c r="AV104"/>
  <c r="BC104"/>
  <c r="AW92"/>
  <c r="H92"/>
  <c r="AX88"/>
  <c r="BC88" s="1"/>
  <c r="I88"/>
  <c r="I77" s="1"/>
  <c r="AW69"/>
  <c r="H69"/>
  <c r="AW59"/>
  <c r="H59"/>
  <c r="AX56"/>
  <c r="BC56" s="1"/>
  <c r="I56"/>
  <c r="Z40"/>
  <c r="AH40"/>
  <c r="J37"/>
  <c r="AK38"/>
  <c r="AJ38"/>
  <c r="AS37" s="1"/>
  <c r="AW31"/>
  <c r="H31"/>
  <c r="AX29"/>
  <c r="BC29" s="1"/>
  <c r="I29"/>
  <c r="I24" s="1"/>
  <c r="AL18"/>
  <c r="AU17" s="1"/>
  <c r="J17"/>
  <c r="AK18"/>
  <c r="AT17" s="1"/>
  <c r="AJ18"/>
  <c r="AS17" s="1"/>
  <c r="AL203"/>
  <c r="AK203"/>
  <c r="AJ203"/>
  <c r="AF164"/>
  <c r="AB164"/>
  <c r="AV159"/>
  <c r="BC159"/>
  <c r="AL136"/>
  <c r="AU135" s="1"/>
  <c r="J135"/>
  <c r="AK136"/>
  <c r="AT135" s="1"/>
  <c r="AX108"/>
  <c r="I108"/>
  <c r="I101" s="1"/>
  <c r="J98"/>
  <c r="AK99"/>
  <c r="AT98" s="1"/>
  <c r="AJ99"/>
  <c r="AS98" s="1"/>
  <c r="AL92"/>
  <c r="AU77" s="1"/>
  <c r="AK92"/>
  <c r="AL59"/>
  <c r="AK59"/>
  <c r="AL44"/>
  <c r="AU37" s="1"/>
  <c r="AK44"/>
  <c r="AJ44"/>
  <c r="AX42"/>
  <c r="I42"/>
  <c r="I37" s="1"/>
  <c r="AV38"/>
  <c r="BC38"/>
  <c r="AL31"/>
  <c r="AK31"/>
  <c r="AT24" s="1"/>
  <c r="AL13"/>
  <c r="AU12" s="1"/>
  <c r="J12"/>
  <c r="AK13"/>
  <c r="AJ13"/>
  <c r="AB263"/>
  <c r="AD299"/>
  <c r="AE298"/>
  <c r="AE294"/>
  <c r="AK286"/>
  <c r="AB279"/>
  <c r="AD269"/>
  <c r="AC263"/>
  <c r="AB252"/>
  <c r="AL227"/>
  <c r="I18" i="3"/>
  <c r="BI299" i="1"/>
  <c r="AF298"/>
  <c r="AG297"/>
  <c r="AE292"/>
  <c r="AD290"/>
  <c r="AB288"/>
  <c r="J241"/>
  <c r="AW234"/>
  <c r="BC64"/>
  <c r="J52"/>
  <c r="AX13"/>
  <c r="H299"/>
  <c r="I298"/>
  <c r="AG294"/>
  <c r="AK272"/>
  <c r="AT271" s="1"/>
  <c r="AW269"/>
  <c r="AF269"/>
  <c r="AD246"/>
  <c r="AC237"/>
  <c r="AE234"/>
  <c r="AC227"/>
  <c r="AD174"/>
  <c r="I299"/>
  <c r="Z297"/>
  <c r="AW290"/>
  <c r="Z281"/>
  <c r="AF279"/>
  <c r="AW263"/>
  <c r="AW246"/>
  <c r="AH242"/>
  <c r="J236"/>
  <c r="AG234"/>
  <c r="AD227"/>
  <c r="AC217"/>
  <c r="AE212"/>
  <c r="I203"/>
  <c r="AC190"/>
  <c r="AW174"/>
  <c r="AF174"/>
  <c r="AV147"/>
  <c r="AV118"/>
  <c r="AW78"/>
  <c r="H52"/>
  <c r="AW46"/>
  <c r="H24"/>
  <c r="AH299"/>
  <c r="AJ298"/>
  <c r="AS296" s="1"/>
  <c r="Z298"/>
  <c r="AK297"/>
  <c r="AB297"/>
  <c r="J296"/>
  <c r="AJ294"/>
  <c r="AS283" s="1"/>
  <c r="Z294"/>
  <c r="AH292"/>
  <c r="I292"/>
  <c r="I283" s="1"/>
  <c r="AX290"/>
  <c r="AG290"/>
  <c r="AW288"/>
  <c r="AF288"/>
  <c r="AF284"/>
  <c r="AL281"/>
  <c r="AU280" s="1"/>
  <c r="AX279"/>
  <c r="H279"/>
  <c r="H274" s="1"/>
  <c r="AG278"/>
  <c r="AW275"/>
  <c r="AC272"/>
  <c r="J271"/>
  <c r="AH269"/>
  <c r="I269"/>
  <c r="I268" s="1"/>
  <c r="AX263"/>
  <c r="AG263"/>
  <c r="AX252"/>
  <c r="AV252" s="1"/>
  <c r="AF252"/>
  <c r="BH249"/>
  <c r="AL249"/>
  <c r="AU248" s="1"/>
  <c r="AB244"/>
  <c r="AJ242"/>
  <c r="BH239"/>
  <c r="AX237"/>
  <c r="BC237" s="1"/>
  <c r="AC232"/>
  <c r="AE227"/>
  <c r="AL225"/>
  <c r="AC221"/>
  <c r="AH219"/>
  <c r="BC217"/>
  <c r="AE217"/>
  <c r="BH216"/>
  <c r="AW213"/>
  <c r="AD208"/>
  <c r="AW203"/>
  <c r="AX202"/>
  <c r="AV202" s="1"/>
  <c r="AL193"/>
  <c r="AE190"/>
  <c r="I184"/>
  <c r="BI170"/>
  <c r="Z168"/>
  <c r="Z118"/>
  <c r="BC116"/>
  <c r="AT110"/>
  <c r="AV56"/>
  <c r="AV53"/>
  <c r="AV29"/>
  <c r="AV27"/>
  <c r="J24"/>
  <c r="BH13"/>
  <c r="J218"/>
  <c r="AK219"/>
  <c r="AT218" s="1"/>
  <c r="AJ219"/>
  <c r="AS218" s="1"/>
  <c r="AW207"/>
  <c r="H207"/>
  <c r="Z205"/>
  <c r="AH205"/>
  <c r="Z189"/>
  <c r="AH189"/>
  <c r="Z96"/>
  <c r="AH96"/>
  <c r="AV94"/>
  <c r="BC94"/>
  <c r="AB78"/>
  <c r="AF78"/>
  <c r="AX67"/>
  <c r="I67"/>
  <c r="I52" s="1"/>
  <c r="AV33"/>
  <c r="BC33"/>
  <c r="AW18"/>
  <c r="H18"/>
  <c r="H17" s="1"/>
  <c r="AW206"/>
  <c r="H206"/>
  <c r="AF192"/>
  <c r="AB192"/>
  <c r="AC118"/>
  <c r="AG118"/>
  <c r="J265"/>
  <c r="AK266"/>
  <c r="AT265" s="1"/>
  <c r="AW191"/>
  <c r="H191"/>
  <c r="Z143"/>
  <c r="AH143"/>
  <c r="AX50"/>
  <c r="BC50" s="1"/>
  <c r="I50"/>
  <c r="AW192"/>
  <c r="H192"/>
  <c r="H183" s="1"/>
  <c r="AW150"/>
  <c r="H150"/>
  <c r="J123"/>
  <c r="AK124"/>
  <c r="AT123" s="1"/>
  <c r="AJ124"/>
  <c r="AS123" s="1"/>
  <c r="AC108"/>
  <c r="AG108"/>
  <c r="AK104"/>
  <c r="AJ104"/>
  <c r="AB73"/>
  <c r="AF73"/>
  <c r="Z53"/>
  <c r="AH53"/>
  <c r="AL213"/>
  <c r="AK213"/>
  <c r="AB172"/>
  <c r="AF172"/>
  <c r="AX223"/>
  <c r="BC223" s="1"/>
  <c r="I223"/>
  <c r="AL184"/>
  <c r="J183"/>
  <c r="AK184"/>
  <c r="AJ184"/>
  <c r="AK153"/>
  <c r="AT142" s="1"/>
  <c r="AJ153"/>
  <c r="AS142" s="1"/>
  <c r="Z121"/>
  <c r="AH121"/>
  <c r="AV99"/>
  <c r="BC99"/>
  <c r="Z75"/>
  <c r="AH75"/>
  <c r="BH294"/>
  <c r="AC292"/>
  <c r="AU142"/>
  <c r="AU274"/>
  <c r="AC242"/>
  <c r="AL237"/>
  <c r="AU236" s="1"/>
  <c r="I12"/>
  <c r="I297"/>
  <c r="I296" s="1"/>
  <c r="BI279"/>
  <c r="BC272"/>
  <c r="AD263"/>
  <c r="AC252"/>
  <c r="BC249"/>
  <c r="AE242"/>
  <c r="Z201"/>
  <c r="I115"/>
  <c r="H77"/>
  <c r="AX18"/>
  <c r="AF299"/>
  <c r="AG298"/>
  <c r="AW294"/>
  <c r="AW292"/>
  <c r="J283"/>
  <c r="AJ281"/>
  <c r="AS280" s="1"/>
  <c r="AD275"/>
  <c r="AL266"/>
  <c r="AU265" s="1"/>
  <c r="AX234"/>
  <c r="AB208"/>
  <c r="AV48"/>
  <c r="AX44"/>
  <c r="AW15"/>
  <c r="AE286"/>
  <c r="AK281"/>
  <c r="AT280" s="1"/>
  <c r="AG269"/>
  <c r="BH266"/>
  <c r="AE252"/>
  <c r="AF246"/>
  <c r="AE237"/>
  <c r="AW227"/>
  <c r="AW208"/>
  <c r="AB298"/>
  <c r="AL297"/>
  <c r="AU296" s="1"/>
  <c r="AG288"/>
  <c r="AW284"/>
  <c r="AX278"/>
  <c r="AH263"/>
  <c r="J248"/>
  <c r="AW244"/>
  <c r="AD244"/>
  <c r="Z229"/>
  <c r="BC221"/>
  <c r="AL219"/>
  <c r="AU218" s="1"/>
  <c r="AD213"/>
  <c r="BH207"/>
  <c r="BH206"/>
  <c r="AD192"/>
  <c r="AW184"/>
  <c r="H181"/>
  <c r="H176" s="1"/>
  <c r="AJ164"/>
  <c r="BI140"/>
  <c r="AE118"/>
  <c r="H110"/>
  <c r="AV108"/>
  <c r="BH102"/>
  <c r="BI67"/>
  <c r="BH44"/>
  <c r="AV42"/>
  <c r="AW25"/>
  <c r="BH20"/>
  <c r="BI18"/>
  <c r="BH15"/>
  <c r="BI13"/>
  <c r="AG191"/>
  <c r="AC191"/>
  <c r="BC172"/>
  <c r="AV172"/>
  <c r="AX113"/>
  <c r="I113"/>
  <c r="I110" s="1"/>
  <c r="AG50"/>
  <c r="AC50"/>
  <c r="Z22"/>
  <c r="AH22"/>
  <c r="C20" i="2" s="1"/>
  <c r="AB203" i="1"/>
  <c r="AF203"/>
  <c r="Z181"/>
  <c r="AH181"/>
  <c r="AF150"/>
  <c r="AB150"/>
  <c r="AG147"/>
  <c r="AC147"/>
  <c r="AB69"/>
  <c r="AF69"/>
  <c r="Z48"/>
  <c r="AH48"/>
  <c r="AB25"/>
  <c r="AF25"/>
  <c r="AX206"/>
  <c r="I206"/>
  <c r="AC202"/>
  <c r="AG202"/>
  <c r="AX190"/>
  <c r="I190"/>
  <c r="Z174"/>
  <c r="AH174"/>
  <c r="AK166"/>
  <c r="AJ166"/>
  <c r="AV133"/>
  <c r="BC133"/>
  <c r="Z116"/>
  <c r="AH116"/>
  <c r="AF92"/>
  <c r="AB92"/>
  <c r="AG88"/>
  <c r="AC88"/>
  <c r="AC69"/>
  <c r="AG69"/>
  <c r="AF59"/>
  <c r="AB59"/>
  <c r="AG56"/>
  <c r="AC56"/>
  <c r="AF31"/>
  <c r="AB31"/>
  <c r="Z221"/>
  <c r="AH221"/>
  <c r="AB177"/>
  <c r="AF177"/>
  <c r="AC42"/>
  <c r="AG42"/>
  <c r="Z27"/>
  <c r="AH27"/>
  <c r="AL202"/>
  <c r="AK202"/>
  <c r="AW225"/>
  <c r="H225"/>
  <c r="H218" s="1"/>
  <c r="AK216"/>
  <c r="AJ216"/>
  <c r="Z204"/>
  <c r="AH204"/>
  <c r="AL177"/>
  <c r="AU176" s="1"/>
  <c r="J176"/>
  <c r="AK177"/>
  <c r="AT176" s="1"/>
  <c r="AJ177"/>
  <c r="AS176" s="1"/>
  <c r="AL170"/>
  <c r="AK170"/>
  <c r="AW164"/>
  <c r="H164"/>
  <c r="H163" s="1"/>
  <c r="Z155"/>
  <c r="AH155"/>
  <c r="AV153"/>
  <c r="BC153"/>
  <c r="Z111"/>
  <c r="AH111"/>
  <c r="AK94"/>
  <c r="AJ94"/>
  <c r="Z64"/>
  <c r="AH64"/>
  <c r="AK62"/>
  <c r="AJ62"/>
  <c r="AS52" s="1"/>
  <c r="Z35"/>
  <c r="AH35"/>
  <c r="AK33"/>
  <c r="AJ33"/>
  <c r="AE297"/>
  <c r="I27" i="3"/>
  <c r="AK288" i="1"/>
  <c r="AK284"/>
  <c r="AT52"/>
  <c r="I17"/>
  <c r="H298"/>
  <c r="H296" s="1"/>
  <c r="AE269"/>
  <c r="AV242"/>
  <c r="BC239"/>
  <c r="AB227"/>
  <c r="Z212"/>
  <c r="AX207"/>
  <c r="BC155"/>
  <c r="H142"/>
  <c r="BC111"/>
  <c r="AU52"/>
  <c r="BC35"/>
  <c r="AV22"/>
  <c r="I294"/>
  <c r="AX242"/>
  <c r="BC242" s="1"/>
  <c r="AW181"/>
  <c r="BC96"/>
  <c r="AU24"/>
  <c r="AW20"/>
  <c r="H292"/>
  <c r="H283" s="1"/>
  <c r="AF290"/>
  <c r="AE288"/>
  <c r="AV237"/>
  <c r="AX212"/>
  <c r="BC212" s="1"/>
  <c r="AK298"/>
  <c r="AK294"/>
  <c r="AX288"/>
  <c r="H252"/>
  <c r="H251" s="1"/>
  <c r="AT241"/>
  <c r="AE232"/>
  <c r="AJ207"/>
  <c r="AL292"/>
  <c r="AX286"/>
  <c r="BC286" s="1"/>
  <c r="AK269"/>
  <c r="AT268" s="1"/>
  <c r="AJ246"/>
  <c r="AE244"/>
  <c r="BH234"/>
  <c r="AX232"/>
  <c r="BC232" s="1"/>
  <c r="I218"/>
  <c r="AE213"/>
  <c r="AJ212"/>
  <c r="BI207"/>
  <c r="AL207"/>
  <c r="BI206"/>
  <c r="BI205"/>
  <c r="AD203"/>
  <c r="BH191"/>
  <c r="AW177"/>
  <c r="AD150"/>
  <c r="AL133"/>
  <c r="AU132" s="1"/>
  <c r="BC128"/>
  <c r="AS115"/>
  <c r="Z108"/>
  <c r="BC106"/>
  <c r="AJ102"/>
  <c r="AE88"/>
  <c r="AW73"/>
  <c r="AE56"/>
  <c r="BH46"/>
  <c r="BI44"/>
  <c r="Z42"/>
  <c r="BC40"/>
  <c r="AE29"/>
  <c r="AD25"/>
  <c r="AD147"/>
  <c r="AE143"/>
  <c r="AD140"/>
  <c r="AD88"/>
  <c r="AE84"/>
  <c r="AE75"/>
  <c r="AD56"/>
  <c r="AE53"/>
  <c r="AD50"/>
  <c r="AE48"/>
  <c r="AD29"/>
  <c r="AE27"/>
  <c r="AE22"/>
  <c r="AB202"/>
  <c r="AC201"/>
  <c r="AB170"/>
  <c r="AC168"/>
  <c r="AC155"/>
  <c r="AC128"/>
  <c r="AC121"/>
  <c r="AB118"/>
  <c r="AC116"/>
  <c r="AB113"/>
  <c r="AC111"/>
  <c r="AB108"/>
  <c r="AC106"/>
  <c r="AC96"/>
  <c r="AB67"/>
  <c r="AC64"/>
  <c r="AB42"/>
  <c r="AC40"/>
  <c r="AC35"/>
  <c r="AJ84"/>
  <c r="AS77" s="1"/>
  <c r="AJ27"/>
  <c r="AS24" s="1"/>
  <c r="BC73" l="1"/>
  <c r="AV73"/>
  <c r="BC25"/>
  <c r="AV25"/>
  <c r="BC284"/>
  <c r="AV284"/>
  <c r="AB294"/>
  <c r="AD294"/>
  <c r="AF294"/>
  <c r="AC170"/>
  <c r="AG170"/>
  <c r="AE170"/>
  <c r="AB216"/>
  <c r="AF216"/>
  <c r="AD216"/>
  <c r="AS12"/>
  <c r="C27" i="2"/>
  <c r="AV59" i="1"/>
  <c r="BC59"/>
  <c r="AV136"/>
  <c r="BC136"/>
  <c r="AG206"/>
  <c r="AC206"/>
  <c r="AE206"/>
  <c r="AV225"/>
  <c r="BC225"/>
  <c r="BC190"/>
  <c r="AV190"/>
  <c r="BC113"/>
  <c r="AV113"/>
  <c r="AB20"/>
  <c r="AF20"/>
  <c r="AD20"/>
  <c r="BC278"/>
  <c r="AV278"/>
  <c r="AC279"/>
  <c r="AG279"/>
  <c r="AE279"/>
  <c r="AV150"/>
  <c r="BC150"/>
  <c r="AV191"/>
  <c r="BC191"/>
  <c r="AV206"/>
  <c r="BC206"/>
  <c r="AV213"/>
  <c r="BC213"/>
  <c r="AV31"/>
  <c r="BC31"/>
  <c r="BC205"/>
  <c r="AV205"/>
  <c r="AB46"/>
  <c r="AF46"/>
  <c r="AD46"/>
  <c r="AG205"/>
  <c r="AE205"/>
  <c r="AC205"/>
  <c r="AF234"/>
  <c r="AD234"/>
  <c r="AB234"/>
  <c r="AC18"/>
  <c r="AG18"/>
  <c r="AE18"/>
  <c r="AF207"/>
  <c r="AB207"/>
  <c r="AD207"/>
  <c r="BC275"/>
  <c r="AV275"/>
  <c r="BC78"/>
  <c r="AV78"/>
  <c r="BC263"/>
  <c r="AV263"/>
  <c r="AV92"/>
  <c r="BC92"/>
  <c r="AC44"/>
  <c r="AG44"/>
  <c r="AE44"/>
  <c r="AB15"/>
  <c r="AF15"/>
  <c r="AD15"/>
  <c r="AF206"/>
  <c r="AB206"/>
  <c r="AD206"/>
  <c r="AV227"/>
  <c r="BC227"/>
  <c r="BC15"/>
  <c r="AV15"/>
  <c r="BC67"/>
  <c r="AV67"/>
  <c r="AD13"/>
  <c r="C16" i="2" s="1"/>
  <c r="AB13" i="1"/>
  <c r="AF13"/>
  <c r="BC203"/>
  <c r="AV203"/>
  <c r="AF249"/>
  <c r="AD249"/>
  <c r="AB249"/>
  <c r="BC288"/>
  <c r="AV288"/>
  <c r="BC44"/>
  <c r="AV44"/>
  <c r="AT283"/>
  <c r="AT296"/>
  <c r="AT101"/>
  <c r="BC202"/>
  <c r="C29" i="2"/>
  <c r="F29" s="1"/>
  <c r="AV223" i="1"/>
  <c r="AV212"/>
  <c r="AT163"/>
  <c r="BC20"/>
  <c r="AV20"/>
  <c r="BC177"/>
  <c r="AV177"/>
  <c r="BC181"/>
  <c r="AV181"/>
  <c r="AV164"/>
  <c r="BC164"/>
  <c r="BC184"/>
  <c r="AV184"/>
  <c r="BC13"/>
  <c r="AV13"/>
  <c r="AB44"/>
  <c r="AF44"/>
  <c r="AD44"/>
  <c r="AV294"/>
  <c r="BC294"/>
  <c r="BC174"/>
  <c r="AV174"/>
  <c r="BC69"/>
  <c r="AV69"/>
  <c r="AV102"/>
  <c r="BC102"/>
  <c r="F29" i="3"/>
  <c r="AV88" i="1"/>
  <c r="AT183"/>
  <c r="AS241"/>
  <c r="J300"/>
  <c r="AG140"/>
  <c r="AC140"/>
  <c r="AE140"/>
  <c r="AF191"/>
  <c r="AB191"/>
  <c r="AD191"/>
  <c r="AC13"/>
  <c r="AG13"/>
  <c r="AE13"/>
  <c r="C17" i="2" s="1"/>
  <c r="AF102" i="1"/>
  <c r="AB102"/>
  <c r="AD102"/>
  <c r="AV244"/>
  <c r="BC244"/>
  <c r="AV208"/>
  <c r="BC208"/>
  <c r="BC246"/>
  <c r="AV246"/>
  <c r="AV234"/>
  <c r="BC234"/>
  <c r="AC67"/>
  <c r="AG67"/>
  <c r="AE67"/>
  <c r="BC46"/>
  <c r="AV46"/>
  <c r="AV269"/>
  <c r="BC269"/>
  <c r="AG299"/>
  <c r="AC299"/>
  <c r="AE299"/>
  <c r="AG207"/>
  <c r="AE207"/>
  <c r="AC207"/>
  <c r="AB266"/>
  <c r="AF266"/>
  <c r="AD266"/>
  <c r="BC292"/>
  <c r="AV292"/>
  <c r="AV192"/>
  <c r="BC192"/>
  <c r="BC18"/>
  <c r="AV18"/>
  <c r="AV207"/>
  <c r="BC207"/>
  <c r="AF239"/>
  <c r="AB239"/>
  <c r="AD239"/>
  <c r="BC290"/>
  <c r="AV290"/>
  <c r="AT12"/>
  <c r="C28" i="2"/>
  <c r="F28" s="1"/>
  <c r="AU183" i="1"/>
  <c r="C21" i="2"/>
  <c r="AS101" i="1"/>
  <c r="AV50"/>
  <c r="AV140"/>
  <c r="AS163"/>
  <c r="AS183"/>
  <c r="I183"/>
  <c r="AT37"/>
  <c r="I28" i="2" l="1"/>
  <c r="I29" s="1"/>
  <c r="C14"/>
  <c r="C22" s="1"/>
  <c r="C18"/>
  <c r="C15"/>
  <c r="C19"/>
</calcChain>
</file>

<file path=xl/sharedStrings.xml><?xml version="1.0" encoding="utf-8"?>
<sst xmlns="http://schemas.openxmlformats.org/spreadsheetml/2006/main" count="1926" uniqueCount="662">
  <si>
    <t>92</t>
  </si>
  <si>
    <t>23.01.2023</t>
  </si>
  <si>
    <t>Doba výstavby:</t>
  </si>
  <si>
    <t>Hloubené vykopávky</t>
  </si>
  <si>
    <t>Podpěra v odbočovací šachtě</t>
  </si>
  <si>
    <t>Dmtž pažicího boxu standard dl.3m, š.3,5m,hl.3,57m</t>
  </si>
  <si>
    <t>871812112R00</t>
  </si>
  <si>
    <t>Projektant</t>
  </si>
  <si>
    <t>67</t>
  </si>
  <si>
    <t>M22</t>
  </si>
  <si>
    <t>Základ 15%</t>
  </si>
  <si>
    <t>Malby</t>
  </si>
  <si>
    <t>1;zajištění kabelů;</t>
  </si>
  <si>
    <t>286231134VD</t>
  </si>
  <si>
    <t>S3</t>
  </si>
  <si>
    <t>103</t>
  </si>
  <si>
    <t>2;Redukce WAVIN SDR17 PE100 D450/315 PN5/10;</t>
  </si>
  <si>
    <t>Obsyp potrubí štěrkopískem</t>
  </si>
  <si>
    <t>Pohon "VALPES VS FS" VR75-70A-GS6-100-240V AC</t>
  </si>
  <si>
    <t>001221142VD</t>
  </si>
  <si>
    <t>Zásyp rýh se zhutněním</t>
  </si>
  <si>
    <t>Penetrace podkladu pod dlažby</t>
  </si>
  <si>
    <t>91</t>
  </si>
  <si>
    <t>137,9*1*0,15;lože;</t>
  </si>
  <si>
    <t>87</t>
  </si>
  <si>
    <t>Kamila Možná</t>
  </si>
  <si>
    <t>286231139VD</t>
  </si>
  <si>
    <t>Základ 21%</t>
  </si>
  <si>
    <t>20</t>
  </si>
  <si>
    <t>Dodávka</t>
  </si>
  <si>
    <t>NUS celkem z obj.</t>
  </si>
  <si>
    <t>den</t>
  </si>
  <si>
    <t>3_</t>
  </si>
  <si>
    <t>Lemový nákružek A WAVIN SDR17 PE100 D200 PN5/10</t>
  </si>
  <si>
    <t>121,93373;pro zásyp rýhy;</t>
  </si>
  <si>
    <t>711</t>
  </si>
  <si>
    <t>Oprava omítek stropů do 10% plochy - hladkých</t>
  </si>
  <si>
    <t>87_</t>
  </si>
  <si>
    <t>Název stavby:</t>
  </si>
  <si>
    <t>Ostatní materiál</t>
  </si>
  <si>
    <t>979071121R00</t>
  </si>
  <si>
    <t>Průchodka LS-325/9 BS316-OTVOR DN250</t>
  </si>
  <si>
    <t>48</t>
  </si>
  <si>
    <t>29</t>
  </si>
  <si>
    <t>Potrubí z trub plastických, skleněných a čedičových</t>
  </si>
  <si>
    <t>Č</t>
  </si>
  <si>
    <t>89_</t>
  </si>
  <si>
    <t>44,28*0,2;plocha nádrže x 20% - odhad z celkové plochy;</t>
  </si>
  <si>
    <t>Poznámka:</t>
  </si>
  <si>
    <t>979990111R00</t>
  </si>
  <si>
    <t>Lokalita:</t>
  </si>
  <si>
    <t>79</t>
  </si>
  <si>
    <t>71</t>
  </si>
  <si>
    <t>16</t>
  </si>
  <si>
    <t>PSV</t>
  </si>
  <si>
    <t>24</t>
  </si>
  <si>
    <t>460300006R00</t>
  </si>
  <si>
    <t>Bez pevné podl.</t>
  </si>
  <si>
    <t>Celkem</t>
  </si>
  <si>
    <t>Zařízení staveniště</t>
  </si>
  <si>
    <t>Potrubí z drenážek</t>
  </si>
  <si>
    <t>-1,8135;viz podkladová vrstva ze štěrkopísku;</t>
  </si>
  <si>
    <t>286231130VD</t>
  </si>
  <si>
    <t>11_</t>
  </si>
  <si>
    <t>881267211R00</t>
  </si>
  <si>
    <t>1_</t>
  </si>
  <si>
    <t>4</t>
  </si>
  <si>
    <t>97</t>
  </si>
  <si>
    <t>94</t>
  </si>
  <si>
    <t>Tvarovky</t>
  </si>
  <si>
    <t>CHEMINVEST</t>
  </si>
  <si>
    <t>60</t>
  </si>
  <si>
    <t>Nakládání nebo překládání vybouraných hmot - dlažba pro zpětnou pokládku</t>
  </si>
  <si>
    <t>151101102R00</t>
  </si>
  <si>
    <t>161101101R00</t>
  </si>
  <si>
    <t>Základní rozpočtové náklady</t>
  </si>
  <si>
    <t>-50,49954;viz zásyp šachty;</t>
  </si>
  <si>
    <t>Elektrospojka WAVIN SDR17 PE100 D200 PN10/16</t>
  </si>
  <si>
    <t>26</t>
  </si>
  <si>
    <t>6_</t>
  </si>
  <si>
    <t>105</t>
  </si>
  <si>
    <t>Konstrukce ze zemin</t>
  </si>
  <si>
    <t>012111112VD</t>
  </si>
  <si>
    <t>275,8*0,05;ztratné;</t>
  </si>
  <si>
    <t>Použití jeřábu pro osazení šachty</t>
  </si>
  <si>
    <t>Celkem bez DPH</t>
  </si>
  <si>
    <t>286231141VD</t>
  </si>
  <si>
    <t>Vedlejší a ostatní rozpočtové náklady</t>
  </si>
  <si>
    <t>899711122R00</t>
  </si>
  <si>
    <t>895013111R00</t>
  </si>
  <si>
    <t>Redukce WAVIN SDR17 PE100 D315/200 PN5/10</t>
  </si>
  <si>
    <t>2_</t>
  </si>
  <si>
    <t>012VD_</t>
  </si>
  <si>
    <t>998223011R00</t>
  </si>
  <si>
    <t>5,5*4,7*2,95;výkop;</t>
  </si>
  <si>
    <t>891</t>
  </si>
  <si>
    <t>286231133VD</t>
  </si>
  <si>
    <t>Potrubí z drenážních trubek, přeložení DN 100</t>
  </si>
  <si>
    <t>6</t>
  </si>
  <si>
    <t>Rozpočtové náklady v Kč</t>
  </si>
  <si>
    <t>1;Vytýčení a vyznačení sítí včetně dozoru správců sítí;</t>
  </si>
  <si>
    <t>68</t>
  </si>
  <si>
    <t>76,2575;viz hloubení zapaž. jam;</t>
  </si>
  <si>
    <t>81</t>
  </si>
  <si>
    <t>Příplatek za zaměření GPS během pokládky</t>
  </si>
  <si>
    <t>286231144VD</t>
  </si>
  <si>
    <t>Nátěr syntetický OK základní</t>
  </si>
  <si>
    <t>Přesun hmot pro opravy a údržbu do výšky 6 m</t>
  </si>
  <si>
    <t>Hutnění lože</t>
  </si>
  <si>
    <t>B</t>
  </si>
  <si>
    <t>Náklady na umístění stavby (NUS)</t>
  </si>
  <si>
    <t>343</t>
  </si>
  <si>
    <t>Oprava omítek stěn do 10 % pl. - hladkých</t>
  </si>
  <si>
    <t>42</t>
  </si>
  <si>
    <t>Výztuž základových desek ze svařovaných sití KARI</t>
  </si>
  <si>
    <t>201,173;viz hloubení rýh;</t>
  </si>
  <si>
    <t>82</t>
  </si>
  <si>
    <t>Montáž</t>
  </si>
  <si>
    <t>Datum, razítko a podpis</t>
  </si>
  <si>
    <t>Nakládání nebo překládání vybouraných hmot</t>
  </si>
  <si>
    <t>ZRN celkem</t>
  </si>
  <si>
    <t>Dočasné zajištění beton.a plast.potrubí DN 200-500</t>
  </si>
  <si>
    <t>771990010RA0</t>
  </si>
  <si>
    <t>Elektrospojka WAVIN SDR11 PE100 D110 PN10/16</t>
  </si>
  <si>
    <t>17_</t>
  </si>
  <si>
    <t>999281105R00</t>
  </si>
  <si>
    <t>012VD</t>
  </si>
  <si>
    <t>69</t>
  </si>
  <si>
    <t>33</t>
  </si>
  <si>
    <t>137,90*1,05;ztratné;</t>
  </si>
  <si>
    <t>286231138VD</t>
  </si>
  <si>
    <t>Svislé přemístění výkopku z hor.1-4 do 2,5 m - rýha</t>
  </si>
  <si>
    <t>Kabel Cu signalizační</t>
  </si>
  <si>
    <t>DPH 15%</t>
  </si>
  <si>
    <t>1,16*2,5*2;pažení;</t>
  </si>
  <si>
    <t>784151101R00</t>
  </si>
  <si>
    <t>78</t>
  </si>
  <si>
    <t>Vyříznutí stávajícího potrubí termální vody</t>
  </si>
  <si>
    <t>Pažení a rozepření stěn rýh - příložné - hl.do 2 m</t>
  </si>
  <si>
    <t>Krycí list slepého rozpočtu</t>
  </si>
  <si>
    <t>63</t>
  </si>
  <si>
    <t>1;použití jeřábu;</t>
  </si>
  <si>
    <t>783_</t>
  </si>
  <si>
    <t>77_</t>
  </si>
  <si>
    <t>Koleno 90st. WAVIN SDR17 PE100 D200 PN5/10</t>
  </si>
  <si>
    <t>Základna</t>
  </si>
  <si>
    <t>25</t>
  </si>
  <si>
    <t>kus</t>
  </si>
  <si>
    <t>PAAR-LiYCY 2x2x0,75 kabel datový</t>
  </si>
  <si>
    <t>5;viz rozebrání;</t>
  </si>
  <si>
    <t>Dodávky</t>
  </si>
  <si>
    <t>857601102RT1</t>
  </si>
  <si>
    <t>soustava</t>
  </si>
  <si>
    <t>222611215R00</t>
  </si>
  <si>
    <t>0,3695*2;2x doprava pro uložení a zpětný odvoz;</t>
  </si>
  <si>
    <t>Ostatní mat.</t>
  </si>
  <si>
    <t>Oprava ker. obkladu nádrže</t>
  </si>
  <si>
    <t>979094111R00</t>
  </si>
  <si>
    <t>597000002VD</t>
  </si>
  <si>
    <t>76,2575*0,2;příplatek 20%;</t>
  </si>
  <si>
    <t>Průchodka</t>
  </si>
  <si>
    <t>Cenová</t>
  </si>
  <si>
    <t>136,74*1*1,45+1,16*1*2,5;PP;</t>
  </si>
  <si>
    <t>Vodorovné přemístění výkopku z hor.1-4 do 500 m - na mezideponii</t>
  </si>
  <si>
    <t>Příruba PP-OCEL WAVIN D110 PN10/16</t>
  </si>
  <si>
    <t>5;P1;</t>
  </si>
  <si>
    <t>273351216R00</t>
  </si>
  <si>
    <t>HSV prac</t>
  </si>
  <si>
    <t>767_</t>
  </si>
  <si>
    <t>Odrezivění kovových konstrukcí</t>
  </si>
  <si>
    <t>34111012</t>
  </si>
  <si>
    <t>57,995;viz penetrace - S3;</t>
  </si>
  <si>
    <t>132200112RA0</t>
  </si>
  <si>
    <t>-3,5*2,7*2,5;viz šachta;</t>
  </si>
  <si>
    <t>13</t>
  </si>
  <si>
    <t>106,88363;viz nakládání na skládku;</t>
  </si>
  <si>
    <t>"M"</t>
  </si>
  <si>
    <t>Konstrukce doplňkové stavební (zámečnické)</t>
  </si>
  <si>
    <t>Pažení a rozepření stěn rýh - příložné - hl.do 4 m</t>
  </si>
  <si>
    <t>VORN celkem z obj.</t>
  </si>
  <si>
    <t>H27_</t>
  </si>
  <si>
    <t>12,09*0,1;prořez;</t>
  </si>
  <si>
    <t>97_</t>
  </si>
  <si>
    <t>3,9*3,1*8/1000;podkladní deska;</t>
  </si>
  <si>
    <t>771101210RT2</t>
  </si>
  <si>
    <t>lepidlo do vlhkého prostředí, spárování</t>
  </si>
  <si>
    <t>171201201R00</t>
  </si>
  <si>
    <t>Cena/MJ</t>
  </si>
  <si>
    <t>1;Pohon "VALPES VS FS" VR75-70A-GS6-100-240V AC;</t>
  </si>
  <si>
    <t>20,685;viz lože;</t>
  </si>
  <si>
    <t>Konec výstavby:</t>
  </si>
  <si>
    <t>H22_</t>
  </si>
  <si>
    <t>Redukce WAVIN SDR17 PE100 D450/315 PN5/10</t>
  </si>
  <si>
    <t>132303323R00</t>
  </si>
  <si>
    <t>Vybourání keramické nebo teracové dlažby</t>
  </si>
  <si>
    <t>899102111RT2</t>
  </si>
  <si>
    <t>Kód</t>
  </si>
  <si>
    <t>S</t>
  </si>
  <si>
    <t>43</t>
  </si>
  <si>
    <t>136,74*1,45*2;pažení;</t>
  </si>
  <si>
    <t>Montáž tvarovek DN 200</t>
  </si>
  <si>
    <t>Příplatek za lepivost - hloubení zapaž.jam v hor.4</t>
  </si>
  <si>
    <t>Vodorovná doprava vybour. hmot po suchu do 50 m - dlažba pro zpětnou pokládku</t>
  </si>
  <si>
    <t>Úprava podloží a základové spáry</t>
  </si>
  <si>
    <t>Ostatní přesuny hmot</t>
  </si>
  <si>
    <t>1;P2;</t>
  </si>
  <si>
    <t>611421221R00</t>
  </si>
  <si>
    <t>MJ</t>
  </si>
  <si>
    <t>1;průchodka;</t>
  </si>
  <si>
    <t>Přesun hmot, pozemní komunikace, kryt dlážděný</t>
  </si>
  <si>
    <t>12,411;lože trativodu;</t>
  </si>
  <si>
    <t>45</t>
  </si>
  <si>
    <t>2;Koleno 90st. WAVIN SDR17 PE100 D200 PN5/10;</t>
  </si>
  <si>
    <t>40</t>
  </si>
  <si>
    <t>Propojení potrubí po osazení šachty</t>
  </si>
  <si>
    <t>H22</t>
  </si>
  <si>
    <t>9_</t>
  </si>
  <si>
    <t>Celkem ORN</t>
  </si>
  <si>
    <t>2;Pohon "VALPES VS FS" VS300-90A-GS6-100-240V AC;</t>
  </si>
  <si>
    <t>Doplňkové náklady</t>
  </si>
  <si>
    <t>Nátěr syntetický OK dvojnásobný</t>
  </si>
  <si>
    <t>979084212R00</t>
  </si>
  <si>
    <t>938907121R00</t>
  </si>
  <si>
    <t>286559919VD</t>
  </si>
  <si>
    <t>0,3695*2;2x nakládání pro uložení a zpětný odvoz;</t>
  </si>
  <si>
    <t>PSV prac</t>
  </si>
  <si>
    <t>HSV</t>
  </si>
  <si>
    <t>Podkladová vrstva ze štěrkopísku, rozprostření a zhutnění</t>
  </si>
  <si>
    <t>Vedlejší rozpočtové náklady VRN</t>
  </si>
  <si>
    <t>286231135VD</t>
  </si>
  <si>
    <t>132301219R00</t>
  </si>
  <si>
    <t>151101112R00</t>
  </si>
  <si>
    <t>711141559RZ3</t>
  </si>
  <si>
    <t>9</t>
  </si>
  <si>
    <t>Odstranění pažení stěn rýh - příložné - hl. do 4 m</t>
  </si>
  <si>
    <t>161101102R00</t>
  </si>
  <si>
    <t>104</t>
  </si>
  <si>
    <t>Různé dokončovací konstrukce a práce inženýrských staveb</t>
  </si>
  <si>
    <t>3,9*3,1*0,156;pro podklad;</t>
  </si>
  <si>
    <t>172,43327;viz nakládání;</t>
  </si>
  <si>
    <t>273321311R00</t>
  </si>
  <si>
    <t>15</t>
  </si>
  <si>
    <t>34111110VD</t>
  </si>
  <si>
    <t>95</t>
  </si>
  <si>
    <t>596215021R00</t>
  </si>
  <si>
    <t>ISWORK</t>
  </si>
  <si>
    <t>Celkem včetně DPH</t>
  </si>
  <si>
    <t>Celkem NUS</t>
  </si>
  <si>
    <t>(5+4)*2,46*2+20*2-1,19*0,79+(1,19+0,79)*2*0,42;004;</t>
  </si>
  <si>
    <t>Základ 0%</t>
  </si>
  <si>
    <t>Nakládání výkopku z hor. 1 ÷ 4 v množství nad 100 m3 - odvoz z mezideponie</t>
  </si>
  <si>
    <t>1;rám;</t>
  </si>
  <si>
    <t>2,47122</t>
  </si>
  <si>
    <t>891110013VD</t>
  </si>
  <si>
    <t>S_</t>
  </si>
  <si>
    <t>Nakládání výkopku z hor. 1 ÷ 4 v množství nad 100 m3 - odvoz na mezideponii</t>
  </si>
  <si>
    <t>-3,14*0,14*0,14/4*137,9</t>
  </si>
  <si>
    <t>52</t>
  </si>
  <si>
    <t>784165611R00</t>
  </si>
  <si>
    <t xml:space="preserve">Montáž podlah keram.,režné hladké, tmel	</t>
  </si>
  <si>
    <t>Rozebrání dlažeb ze zámkové dlažby v kamenivu</t>
  </si>
  <si>
    <t>51</t>
  </si>
  <si>
    <t>Přesuny sutí</t>
  </si>
  <si>
    <t>137,9*0,3*0,3</t>
  </si>
  <si>
    <t>Mont prac</t>
  </si>
  <si>
    <t>Elektrokus T kus reduk. WAVIN PE100 D200-110 PN10/16</t>
  </si>
  <si>
    <t>767995153VD</t>
  </si>
  <si>
    <t>Obklady (keramické)</t>
  </si>
  <si>
    <t>44</t>
  </si>
  <si>
    <t>012111113VD</t>
  </si>
  <si>
    <t>Přípl.za lepivost,hloubení rýh 200cm,hor.4,STROJNĚ</t>
  </si>
  <si>
    <t>Příplatek k odvozu za každý další 1 km</t>
  </si>
  <si>
    <t>78_</t>
  </si>
  <si>
    <t>343_</t>
  </si>
  <si>
    <t>62_</t>
  </si>
  <si>
    <t>Vyrovnání podk.samoniv.hmotou</t>
  </si>
  <si>
    <t>23</t>
  </si>
  <si>
    <t>RTS II / 2023</t>
  </si>
  <si>
    <t>((1,175+2,5*2)*2,5-0,96*2,02+4,5*1,5*2)*2+11,139;001;</t>
  </si>
  <si>
    <t>781_</t>
  </si>
  <si>
    <t>767</t>
  </si>
  <si>
    <t>162301101R00</t>
  </si>
  <si>
    <t>-1,8135;viz podkladová základová deska;</t>
  </si>
  <si>
    <t>59</t>
  </si>
  <si>
    <t>3,9*3,1*0,15;podkladní deska;</t>
  </si>
  <si>
    <t>109</t>
  </si>
  <si>
    <t>t</t>
  </si>
  <si>
    <t>Odstranění nátěrů z ocel.konstrukcí oškrábáním</t>
  </si>
  <si>
    <t> </t>
  </si>
  <si>
    <t>162701109R00</t>
  </si>
  <si>
    <t>53</t>
  </si>
  <si>
    <t>99</t>
  </si>
  <si>
    <t>201,173/100*20;příplatek 20%;</t>
  </si>
  <si>
    <t>107</t>
  </si>
  <si>
    <t>343111100VD</t>
  </si>
  <si>
    <t>781110012VD</t>
  </si>
  <si>
    <t>AQUACENTRUM p.o., TEPLICE</t>
  </si>
  <si>
    <t>JKSO:</t>
  </si>
  <si>
    <t>45_</t>
  </si>
  <si>
    <t>85</t>
  </si>
  <si>
    <t>857601107R00</t>
  </si>
  <si>
    <t>;obsyp;</t>
  </si>
  <si>
    <t>64</t>
  </si>
  <si>
    <t>vrn</t>
  </si>
  <si>
    <t>Svislé přemístění výkopku z hor.1-4 do 4,0 m - jáma</t>
  </si>
  <si>
    <t>Podpěry</t>
  </si>
  <si>
    <t>28,4;viz vyrovnání;</t>
  </si>
  <si>
    <t>783122110R00</t>
  </si>
  <si>
    <t>Průchodka do šachty</t>
  </si>
  <si>
    <t>137,9;vodič;</t>
  </si>
  <si>
    <t>30;viz pokládka - P1;</t>
  </si>
  <si>
    <t>77</t>
  </si>
  <si>
    <t>Příplatek za položení signalizačního vodiče a datového kabelu</t>
  </si>
  <si>
    <t>771575107RT2</t>
  </si>
  <si>
    <t>DN celkem</t>
  </si>
  <si>
    <t>H99_</t>
  </si>
  <si>
    <t>Komunikace pozemní a letiště</t>
  </si>
  <si>
    <t>Vytýčení a vyznačení sítí včetně dozoru správců sítí</t>
  </si>
  <si>
    <t>012111111VD</t>
  </si>
  <si>
    <t>Nátěr betonových povrchů protiskluzový včetně drobných oprav</t>
  </si>
  <si>
    <t>GROUPCODE</t>
  </si>
  <si>
    <t>Poplatek za uložení suti - stavební keramika, skupina odpadu 170103</t>
  </si>
  <si>
    <t>0</t>
  </si>
  <si>
    <t>1;Elektrokus T kus reduk. WAVIN PE100 D200-110 PN10/16;</t>
  </si>
  <si>
    <t>Montáže sdělovací a zabezpečovací techniky</t>
  </si>
  <si>
    <t>Provozní vlivy</t>
  </si>
  <si>
    <t>5</t>
  </si>
  <si>
    <t>76_</t>
  </si>
  <si>
    <t>Pronájem lehkého pažic.boxu dl.3m, š.3,5m,hl.3,27m</t>
  </si>
  <si>
    <t>Příplatek k vod. přemístění hor.1-4 za další 1 km</t>
  </si>
  <si>
    <t>891_</t>
  </si>
  <si>
    <t>Montáž tvarovek DN 300</t>
  </si>
  <si>
    <t>Vedení trubní dálková a přípojná</t>
  </si>
  <si>
    <t>Druh stavby:</t>
  </si>
  <si>
    <t>Přípravné a přidružené práce</t>
  </si>
  <si>
    <t>783122710R00</t>
  </si>
  <si>
    <t>88_</t>
  </si>
  <si>
    <t>784</t>
  </si>
  <si>
    <t>96</t>
  </si>
  <si>
    <t>783824120R00</t>
  </si>
  <si>
    <t>Zpracováno dne:</t>
  </si>
  <si>
    <t>286231137VD</t>
  </si>
  <si>
    <t>H27</t>
  </si>
  <si>
    <t>783</t>
  </si>
  <si>
    <t>Fólie výstražná z PVC</t>
  </si>
  <si>
    <t>2;Elektrospojka WAVIN SDR11 PE100 D110 PN10/16;</t>
  </si>
  <si>
    <t>SO 01 - OTV z LDB do ČS</t>
  </si>
  <si>
    <t>10</t>
  </si>
  <si>
    <t>137,9</t>
  </si>
  <si>
    <t>58</t>
  </si>
  <si>
    <t>S2</t>
  </si>
  <si>
    <t>36</t>
  </si>
  <si>
    <t>M46</t>
  </si>
  <si>
    <t>286231132VD</t>
  </si>
  <si>
    <t>14</t>
  </si>
  <si>
    <t>31</t>
  </si>
  <si>
    <t>11.12.2023</t>
  </si>
  <si>
    <t>84</t>
  </si>
  <si>
    <t>Osazení a dodávka poklopu včetně rámu, uzamykatelný, těsný 900x900mm</t>
  </si>
  <si>
    <t>Množství</t>
  </si>
  <si>
    <t>5_</t>
  </si>
  <si>
    <t>622471112R00</t>
  </si>
  <si>
    <t>38</t>
  </si>
  <si>
    <t>Všeobecné konstrukce a práce</t>
  </si>
  <si>
    <t>2;Uzav. klapka TTV s el. pohonem 2034E-DN200-PN16 W;</t>
  </si>
  <si>
    <t>VORN celkem</t>
  </si>
  <si>
    <t>3;průchodka;</t>
  </si>
  <si>
    <t>Železobeton základových desek C 16/20</t>
  </si>
  <si>
    <t>Zásyp odbočovací šachty se zhutněním</t>
  </si>
  <si>
    <t>21_</t>
  </si>
  <si>
    <t>Typ skupiny</t>
  </si>
  <si>
    <t>73</t>
  </si>
  <si>
    <t>187,98732</t>
  </si>
  <si>
    <t>201,173;viz rýha;</t>
  </si>
  <si>
    <t>286231142VD</t>
  </si>
  <si>
    <t>Zemní práce při montážích</t>
  </si>
  <si>
    <t>4,65;viz odrezivění;</t>
  </si>
  <si>
    <t>Dočasné zajištění kabelů - do počtu 3 kabelů</t>
  </si>
  <si>
    <t>61_</t>
  </si>
  <si>
    <t>460650015RT1</t>
  </si>
  <si>
    <t>56</t>
  </si>
  <si>
    <t>Montáž trubek polyetylenových ve výkopu d 110 mm</t>
  </si>
  <si>
    <t>892271111R00</t>
  </si>
  <si>
    <t>1;Uzav. klapka TTV s el. pohonem 2094E-DN100-PN16 W;</t>
  </si>
  <si>
    <t>19</t>
  </si>
  <si>
    <t>C</t>
  </si>
  <si>
    <t>Náklady (Kč)</t>
  </si>
  <si>
    <t>110</t>
  </si>
  <si>
    <t>Očištění vybour. kostek drobných s výplní kam. těž</t>
  </si>
  <si>
    <t>39</t>
  </si>
  <si>
    <t>30</t>
  </si>
  <si>
    <t>3;Průchodka LS-325/9 BS316-OTVOR DN250;</t>
  </si>
  <si>
    <t>2;Elektrokus T kus WAVIN PE100 D200 PN10/16;</t>
  </si>
  <si>
    <t>Ostatní konstrukce a práce na trubním vedení</t>
  </si>
  <si>
    <t>IČO/DIČ:</t>
  </si>
  <si>
    <t>Ostatní</t>
  </si>
  <si>
    <t>86</t>
  </si>
  <si>
    <t>137,9*2;fólie;</t>
  </si>
  <si>
    <t>Uzav. klapka TTV s el. pohonem 2034E-DN200-PN16 W</t>
  </si>
  <si>
    <t>979081121R00</t>
  </si>
  <si>
    <t>Kladení zámkové dlažby tl. 6 cm do drtě tl. 4 cm</t>
  </si>
  <si>
    <t>55</t>
  </si>
  <si>
    <t>19*0,18*1,175+18*0,27*1,175+1,175*1,2;001 - S7;</t>
  </si>
  <si>
    <t>871251121R00</t>
  </si>
  <si>
    <t>Zpracoval:</t>
  </si>
  <si>
    <t>2;Příruba PP-OCEL WAVIN D110 PN10/16;</t>
  </si>
  <si>
    <t>76</t>
  </si>
  <si>
    <t>286231145VD</t>
  </si>
  <si>
    <t>771100010RA0</t>
  </si>
  <si>
    <t>286231140VD</t>
  </si>
  <si>
    <t>137,9*1*(0,14+0,3)</t>
  </si>
  <si>
    <t>Uložení sypaniny na mezideponii</t>
  </si>
  <si>
    <t>151101111R00</t>
  </si>
  <si>
    <t>Přesun hmot, trubní vedení plastová, otevř. výkop</t>
  </si>
  <si>
    <t>Zhotovitel</t>
  </si>
  <si>
    <t>199000002R00</t>
  </si>
  <si>
    <t>RTS I / 2023</t>
  </si>
  <si>
    <t>2;Lemový nákružek A WAVIN SDR17 PE100 D110 PN5/10;</t>
  </si>
  <si>
    <t>27_</t>
  </si>
  <si>
    <t>2</t>
  </si>
  <si>
    <t>Projektant:</t>
  </si>
  <si>
    <t/>
  </si>
  <si>
    <t>17</t>
  </si>
  <si>
    <t>1;žebřík;</t>
  </si>
  <si>
    <t>(5+4)*2*0,9-0,96*0,4+(0,86+0,56)*2*1,05;003;</t>
  </si>
  <si>
    <t>98</t>
  </si>
  <si>
    <t>Hloubení rýh pro drény, hloubky do 2,0 m, v hor.4</t>
  </si>
  <si>
    <t>112</t>
  </si>
  <si>
    <t>Vodorovné přemístění výkopku z hor.1-4 do 500 m - z mezideponie</t>
  </si>
  <si>
    <t>15_</t>
  </si>
  <si>
    <t>21</t>
  </si>
  <si>
    <t>451572111R00</t>
  </si>
  <si>
    <t>Lože pod potrubí z písku</t>
  </si>
  <si>
    <t>979081111R00</t>
  </si>
  <si>
    <t>Úprava povrchů vnitřní</t>
  </si>
  <si>
    <t>Práce přesčas</t>
  </si>
  <si>
    <t>P1 - S4, S5</t>
  </si>
  <si>
    <t>Bednění stěn základových desek - odstranění</t>
  </si>
  <si>
    <t>61</t>
  </si>
  <si>
    <t>119001421R00</t>
  </si>
  <si>
    <t>4,65;viz odrezivění - S7;</t>
  </si>
  <si>
    <t>871812111R00</t>
  </si>
  <si>
    <t>174101101R00</t>
  </si>
  <si>
    <t>12</t>
  </si>
  <si>
    <t>106,88363*19;odvoz celkem do 20km;</t>
  </si>
  <si>
    <t>Hloubení zapaž.rýh šířky.do 200 cm v hornině.1-4</t>
  </si>
  <si>
    <t>Kulturní památka</t>
  </si>
  <si>
    <t>(3,9+3,1)*2*0,15;podkladní deska;</t>
  </si>
  <si>
    <t>Odvoz suti a vybour. hmot na skládku do 1 km</t>
  </si>
  <si>
    <t>kompl</t>
  </si>
  <si>
    <t>DPH 21%</t>
  </si>
  <si>
    <t>28611233</t>
  </si>
  <si>
    <t>29,595;viz oprava omítek stěn;</t>
  </si>
  <si>
    <t>286231143VD</t>
  </si>
  <si>
    <t>-58,55427;viz obsyp;</t>
  </si>
  <si>
    <t>2,47122*19;odvoz celkem do 20km;</t>
  </si>
  <si>
    <t>286231131VD</t>
  </si>
  <si>
    <t>_</t>
  </si>
  <si>
    <t>7;Elektrospojka WAVIN SDR17 PE100 D200 PN10/16;</t>
  </si>
  <si>
    <t>857601105R00</t>
  </si>
  <si>
    <t>Podkladní a vedlejší konstrukce (kromě vozovek a železničního svršku)</t>
  </si>
  <si>
    <t>175100020RAD</t>
  </si>
  <si>
    <t>49</t>
  </si>
  <si>
    <t>72</t>
  </si>
  <si>
    <t>Přesuny</t>
  </si>
  <si>
    <t>Montáž pohonů</t>
  </si>
  <si>
    <t>MAT</t>
  </si>
  <si>
    <t>70</t>
  </si>
  <si>
    <t>Malba omyvat., bílá, bez penetrace, 1x</t>
  </si>
  <si>
    <t>8</t>
  </si>
  <si>
    <t>Celkem:</t>
  </si>
  <si>
    <t>Mimostav. doprava</t>
  </si>
  <si>
    <t>Nátěry</t>
  </si>
  <si>
    <t>783904811R00</t>
  </si>
  <si>
    <t>18</t>
  </si>
  <si>
    <t>DN celkem z obj.</t>
  </si>
  <si>
    <t>Nakládání výkopku z hor. 1 ÷ 4 v množství nad 100 m3 - odvoz na skládku</t>
  </si>
  <si>
    <t>-1,4*1,4*0,2;viz vstup do šachty;</t>
  </si>
  <si>
    <t>2,1;viz zřízení;</t>
  </si>
  <si>
    <t>46</t>
  </si>
  <si>
    <t>781</t>
  </si>
  <si>
    <t>Montáž pažic.boxu standard dl.3m, š.3,5m, hl.3,57m</t>
  </si>
  <si>
    <t>9,9;002;</t>
  </si>
  <si>
    <t>71_</t>
  </si>
  <si>
    <t>Úprava povrchů vnější</t>
  </si>
  <si>
    <t>100</t>
  </si>
  <si>
    <t>108</t>
  </si>
  <si>
    <t>50</t>
  </si>
  <si>
    <t>Základy</t>
  </si>
  <si>
    <t>Nátěr vnějších stěn algicidní a fungicidní</t>
  </si>
  <si>
    <t>4_</t>
  </si>
  <si>
    <t>Přechod. kus SC 465 + vložka BC 32/400</t>
  </si>
  <si>
    <t>m</t>
  </si>
  <si>
    <t>5,8;viz pažení;</t>
  </si>
  <si>
    <t>Lemový nákružek A WAVIN SDR17 PE100 D110 PN5/10</t>
  </si>
  <si>
    <t>Přemístění výkopku</t>
  </si>
  <si>
    <t>212572111R00</t>
  </si>
  <si>
    <t>11</t>
  </si>
  <si>
    <t>Pohon "VALPES VS FS" VS300-90A-GS6-100-240V AC</t>
  </si>
  <si>
    <t>32</t>
  </si>
  <si>
    <t>Objednatel:</t>
  </si>
  <si>
    <t>Odmaštění chemickými rozpouštědly</t>
  </si>
  <si>
    <t>8_</t>
  </si>
  <si>
    <t>PSV mat</t>
  </si>
  <si>
    <t>131301110R00</t>
  </si>
  <si>
    <t>894</t>
  </si>
  <si>
    <t>286231146VD</t>
  </si>
  <si>
    <t>3</t>
  </si>
  <si>
    <t>783101811R00</t>
  </si>
  <si>
    <t>Roubení</t>
  </si>
  <si>
    <t>Bednění stěn základových desek - zřízení</t>
  </si>
  <si>
    <t>711_</t>
  </si>
  <si>
    <t>85_</t>
  </si>
  <si>
    <t>998276101R00</t>
  </si>
  <si>
    <t>102</t>
  </si>
  <si>
    <t>Lože trativodu ze štěrkopísku tříděného</t>
  </si>
  <si>
    <t>Zhotovitel:</t>
  </si>
  <si>
    <t>%</t>
  </si>
  <si>
    <t>Podlahy z dlaždic</t>
  </si>
  <si>
    <t>M46_</t>
  </si>
  <si>
    <t>131301209R00</t>
  </si>
  <si>
    <t>1;odbočovací jímka;</t>
  </si>
  <si>
    <t>0_</t>
  </si>
  <si>
    <t>784_</t>
  </si>
  <si>
    <t>35</t>
  </si>
  <si>
    <t>Začátek výstavby:</t>
  </si>
  <si>
    <t>396,546;viz pažení;</t>
  </si>
  <si>
    <t>Penetrace podkladu 1 x</t>
  </si>
  <si>
    <t>A</t>
  </si>
  <si>
    <t>Mont mat</t>
  </si>
  <si>
    <t>167101102R00</t>
  </si>
  <si>
    <t>0,3695</t>
  </si>
  <si>
    <t>13_</t>
  </si>
  <si>
    <t>2;Přechod. kus SC 465 + vložka BC 32/400;</t>
  </si>
  <si>
    <t>Slepý stavební rozpočet</t>
  </si>
  <si>
    <t>93</t>
  </si>
  <si>
    <t>AQUACENTRUM TEPLICE</t>
  </si>
  <si>
    <t>162301102R00</t>
  </si>
  <si>
    <t>1;propojení potrubí;</t>
  </si>
  <si>
    <t>273351215R00</t>
  </si>
  <si>
    <t>612421221R00</t>
  </si>
  <si>
    <t>101</t>
  </si>
  <si>
    <t>75</t>
  </si>
  <si>
    <t>54</t>
  </si>
  <si>
    <t xml:space="preserve"> </t>
  </si>
  <si>
    <t>16_</t>
  </si>
  <si>
    <t>151811617R00</t>
  </si>
  <si>
    <t>Elektrokus T kus WAVIN PE100 D200 PN10/16</t>
  </si>
  <si>
    <t>343111101VD</t>
  </si>
  <si>
    <t>3,9*3,1;hydroizolační vrstva;</t>
  </si>
  <si>
    <t>Kryty pozemních komunikací, letišť a ploch dlážděných (předlažby)</t>
  </si>
  <si>
    <t>Provedení izolace proti vlhkosti na ploše vodorovné, asfaltovými pásy přitavením, 1 vrstva - včetně dodávky</t>
  </si>
  <si>
    <t>Objednatel</t>
  </si>
  <si>
    <t>001111111VD</t>
  </si>
  <si>
    <t>57</t>
  </si>
  <si>
    <t>(Kč)</t>
  </si>
  <si>
    <t>22</t>
  </si>
  <si>
    <t>Příruba PP-OCEL WAVIN D200 PN16</t>
  </si>
  <si>
    <t>18,5;003;</t>
  </si>
  <si>
    <t>151813617R00</t>
  </si>
  <si>
    <t>Územní vlivy</t>
  </si>
  <si>
    <t>78,14354+201,173;viz svislé přemístění;</t>
  </si>
  <si>
    <t>m3</t>
  </si>
  <si>
    <t>Odstranění pažení stěn rýh - příložné - hl. do 2 m</t>
  </si>
  <si>
    <t>Datum:</t>
  </si>
  <si>
    <t>Trubka PVC-U drenážní flexibilní d 100 mm</t>
  </si>
  <si>
    <t>Tlaková zkouška vodovodního potrubí DN 125</t>
  </si>
  <si>
    <t>Uložení sypaniny na skl.-sypanina na výšku přes 2m</t>
  </si>
  <si>
    <t>27</t>
  </si>
  <si>
    <t>37</t>
  </si>
  <si>
    <t>80</t>
  </si>
  <si>
    <t>m2</t>
  </si>
  <si>
    <t>41</t>
  </si>
  <si>
    <t>59_</t>
  </si>
  <si>
    <t>armatury na potrubí, výtoková a vtoková zařízení</t>
  </si>
  <si>
    <t>Přesun hmot a sutí</t>
  </si>
  <si>
    <t>NUS z rozpočtu</t>
  </si>
  <si>
    <t>Instalace průchodky včetně opravy hydroizolace vnější stěny</t>
  </si>
  <si>
    <t>1</t>
  </si>
  <si>
    <t>3,9*3,1*0,15;štěrkopískový podsyp;</t>
  </si>
  <si>
    <t>894110015VD</t>
  </si>
  <si>
    <t>7</t>
  </si>
  <si>
    <t>Rozměry</t>
  </si>
  <si>
    <t>28,4;viz oprava omítek stropů;</t>
  </si>
  <si>
    <t>131301201R00</t>
  </si>
  <si>
    <t>286231136VD</t>
  </si>
  <si>
    <t>(2,425+4)*2*2,5-0,96*2,02*2+9,9*2;002;</t>
  </si>
  <si>
    <t>-121,933373;viz zásyp rýhy;</t>
  </si>
  <si>
    <t>74</t>
  </si>
  <si>
    <t>Položek:</t>
  </si>
  <si>
    <t>NUS celkem</t>
  </si>
  <si>
    <t>WORK</t>
  </si>
  <si>
    <t>S1</t>
  </si>
  <si>
    <t>83</t>
  </si>
  <si>
    <t>Hloubení zapažených jam v hor.4 do 100 m3</t>
  </si>
  <si>
    <t>771_</t>
  </si>
  <si>
    <t>93_</t>
  </si>
  <si>
    <t>114</t>
  </si>
  <si>
    <t>Ostatní rozpočtové náklady ORN</t>
  </si>
  <si>
    <t>47</t>
  </si>
  <si>
    <t>50,49954;pro zásyp jámy;</t>
  </si>
  <si>
    <t>4;Lemový nákružek A WAVIN SDR17 PE100 D200 PN5/10;</t>
  </si>
  <si>
    <t>-20,685;viz lože;</t>
  </si>
  <si>
    <t>119001412R00</t>
  </si>
  <si>
    <t>HSV mat</t>
  </si>
  <si>
    <t>Kč</t>
  </si>
  <si>
    <t>4;Příruba PP-OCEL WAVIN D200 PN16;</t>
  </si>
  <si>
    <t>66</t>
  </si>
  <si>
    <t>139,7</t>
  </si>
  <si>
    <t>Celkem VRN</t>
  </si>
  <si>
    <t>(5+4)*2*2,5-0,96*2,02+18,5*2+(0,86+0,56)*2*1,05-1,19*0,79;003;</t>
  </si>
  <si>
    <t>286134633</t>
  </si>
  <si>
    <t>Montáž tvarovek DN 100</t>
  </si>
  <si>
    <t>113106231R00</t>
  </si>
  <si>
    <t>(1,175+2,5*2)*2,5-0,96*2,02+4,5*1,5*2*2;001;</t>
  </si>
  <si>
    <t>783903811R00</t>
  </si>
  <si>
    <t>H99</t>
  </si>
  <si>
    <t>1,88604;viz hloubení nezapaž. jam;</t>
  </si>
  <si>
    <t>90</t>
  </si>
  <si>
    <t>89</t>
  </si>
  <si>
    <t>Vodorovné přemístění výkopku z hor.1-4 do 1000 m</t>
  </si>
  <si>
    <t>Žebřík nerezový, šíře 400mm, délka 2,4m včetně kotvení</t>
  </si>
  <si>
    <t>5*(0,15*3+0,24*2);003 - S7;</t>
  </si>
  <si>
    <t>Ostatní rozpočtové náklady (ORN)</t>
  </si>
  <si>
    <t>137,9*1,05;ztratné;</t>
  </si>
  <si>
    <t>Celkem DN</t>
  </si>
  <si>
    <t>(2,425+4)*2*0,9-0,96*0,4*2;002;</t>
  </si>
  <si>
    <t>78,14354;viz svislé přemístění;</t>
  </si>
  <si>
    <t>106,88363;viz uložení;</t>
  </si>
  <si>
    <t>88</t>
  </si>
  <si>
    <t>3,11517</t>
  </si>
  <si>
    <t>Poplatek za skládku horniny 1- 4, č. dle katal. odpadů 17 05 04</t>
  </si>
  <si>
    <t>Uzav. klapka TTV s el. pohonem 2094E-DN100-PN16 W</t>
  </si>
  <si>
    <t>Zkrácený popis</t>
  </si>
  <si>
    <t>28</t>
  </si>
  <si>
    <t>Montáž tvarovek DN 400</t>
  </si>
  <si>
    <t>111</t>
  </si>
  <si>
    <t>Zřízení a dodávka jímky z prefa do 4 m, nad 3,5 m2</t>
  </si>
  <si>
    <t>Trubka vodovodní HDPE SDR 17  110x6,6 mm, tl. izolace 32mm</t>
  </si>
  <si>
    <t>2;Redukce WAVIN SDR17 PE100 D315/200 PN5/10;</t>
  </si>
  <si>
    <t>771</t>
  </si>
  <si>
    <t>CELK</t>
  </si>
  <si>
    <t>857601109R00</t>
  </si>
  <si>
    <t>113</t>
  </si>
  <si>
    <t>106</t>
  </si>
  <si>
    <t>M22_</t>
  </si>
  <si>
    <t>151101101R00</t>
  </si>
  <si>
    <t>65</t>
  </si>
  <si>
    <t>VATTAX</t>
  </si>
  <si>
    <t>Prorážení otvorů a ostatní bourací práce</t>
  </si>
  <si>
    <t>34</t>
  </si>
  <si>
    <t>62</t>
  </si>
  <si>
    <t>Doplňkové náklady DN</t>
  </si>
  <si>
    <t>273362021R00</t>
  </si>
  <si>
    <t>151812614R00</t>
  </si>
  <si>
    <t>Dlažba protiskluzová keramická</t>
  </si>
  <si>
    <t>Izolace proti vodě</t>
  </si>
  <si>
    <t>odstranění obkladu, přebroušení podkladu, penetrace, nový obklad</t>
  </si>
  <si>
    <t>Očištění stěn, podlah a stropů tlakovou vodou</t>
  </si>
  <si>
    <t>Hloubení nezapaž. jam hor.4 do 50 m3, STROJNĚ</t>
  </si>
  <si>
    <t>NOVÁ PŘÍPOJKA TERMÁLNÍ VODY PRO AQUACENTRUM TEPLICE</t>
  </si>
  <si>
    <t>894_</t>
  </si>
</sst>
</file>

<file path=xl/styles.xml><?xml version="1.0" encoding="utf-8"?>
<styleSheet xmlns="http://schemas.openxmlformats.org/spreadsheetml/2006/main">
  <fonts count="12">
    <font>
      <sz val="8"/>
      <name val="Arial"/>
    </font>
    <font>
      <sz val="11"/>
      <name val="Calibri"/>
    </font>
    <font>
      <b/>
      <sz val="12"/>
      <color rgb="FF000000"/>
      <name val="Arial"/>
      <charset val="238"/>
    </font>
    <font>
      <b/>
      <sz val="10"/>
      <color rgb="FF000000"/>
      <name val="Arial"/>
      <charset val="238"/>
    </font>
    <font>
      <sz val="12"/>
      <color rgb="FF000000"/>
      <name val="Arial"/>
      <charset val="238"/>
    </font>
    <font>
      <sz val="10"/>
      <color rgb="FF000000"/>
      <name val="Arial"/>
      <charset val="238"/>
    </font>
    <font>
      <b/>
      <sz val="11"/>
      <color rgb="FF000000"/>
      <name val="Arial"/>
      <charset val="238"/>
    </font>
    <font>
      <i/>
      <sz val="10"/>
      <color rgb="FF000000"/>
      <name val="Arial"/>
      <charset val="238"/>
    </font>
    <font>
      <sz val="18"/>
      <color rgb="FF000000"/>
      <name val="Arial"/>
      <charset val="238"/>
    </font>
    <font>
      <b/>
      <sz val="2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9"/>
      </patternFill>
    </fill>
  </fills>
  <borders count="3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28">
    <xf numFmtId="0" fontId="1" fillId="0" borderId="0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>
      <alignment horizontal="left" vertical="center"/>
    </xf>
    <xf numFmtId="0" fontId="5" fillId="0" borderId="4" xfId="0" applyNumberFormat="1" applyFont="1" applyFill="1" applyBorder="1" applyAlignment="1" applyProtection="1">
      <alignment horizontal="left" vertical="center"/>
    </xf>
    <xf numFmtId="0" fontId="5" fillId="2" borderId="0" xfId="0" applyNumberFormat="1" applyFont="1" applyFill="1" applyBorder="1" applyAlignment="1" applyProtection="1">
      <alignment horizontal="left" vertical="center"/>
    </xf>
    <xf numFmtId="0" fontId="5" fillId="0" borderId="1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5" fillId="0" borderId="8" xfId="0" applyNumberFormat="1" applyFont="1" applyFill="1" applyBorder="1" applyAlignment="1" applyProtection="1">
      <alignment horizontal="right" vertical="center"/>
    </xf>
    <xf numFmtId="0" fontId="1" fillId="0" borderId="8" xfId="0" applyNumberFormat="1" applyFont="1" applyFill="1" applyBorder="1" applyAlignment="1" applyProtection="1"/>
    <xf numFmtId="4" fontId="5" fillId="0" borderId="8" xfId="0" applyNumberFormat="1" applyFont="1" applyFill="1" applyBorder="1" applyAlignment="1" applyProtection="1">
      <alignment horizontal="right" vertical="center"/>
    </xf>
    <xf numFmtId="0" fontId="5" fillId="2" borderId="4" xfId="0" applyNumberFormat="1" applyFont="1" applyFill="1" applyBorder="1" applyAlignment="1" applyProtection="1">
      <alignment horizontal="left" vertical="center"/>
    </xf>
    <xf numFmtId="0" fontId="3" fillId="2" borderId="8" xfId="0" applyNumberFormat="1" applyFont="1" applyFill="1" applyBorder="1" applyAlignment="1" applyProtection="1">
      <alignment horizontal="right" vertical="center"/>
    </xf>
    <xf numFmtId="0" fontId="5" fillId="0" borderId="8" xfId="0" applyNumberFormat="1" applyFont="1" applyFill="1" applyBorder="1" applyAlignment="1" applyProtection="1">
      <alignment horizontal="left" vertical="center"/>
    </xf>
    <xf numFmtId="0" fontId="4" fillId="0" borderId="8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horizontal="left" vertical="center"/>
    </xf>
    <xf numFmtId="4" fontId="3" fillId="0" borderId="15" xfId="0" applyNumberFormat="1" applyFont="1" applyFill="1" applyBorder="1" applyAlignment="1" applyProtection="1">
      <alignment horizontal="right" vertical="center"/>
    </xf>
    <xf numFmtId="0" fontId="3" fillId="0" borderId="15" xfId="0" applyNumberFormat="1" applyFont="1" applyFill="1" applyBorder="1" applyAlignment="1" applyProtection="1">
      <alignment horizontal="right" vertical="center"/>
    </xf>
    <xf numFmtId="0" fontId="3" fillId="2" borderId="8" xfId="0" applyNumberFormat="1" applyFont="1" applyFill="1" applyBorder="1" applyAlignment="1" applyProtection="1">
      <alignment horizontal="right" vertical="center"/>
    </xf>
    <xf numFmtId="0" fontId="5" fillId="0" borderId="16" xfId="0" applyNumberFormat="1" applyFont="1" applyFill="1" applyBorder="1" applyAlignment="1" applyProtection="1">
      <alignment horizontal="right" vertical="center"/>
    </xf>
    <xf numFmtId="4" fontId="5" fillId="0" borderId="16" xfId="0" applyNumberFormat="1" applyFont="1" applyFill="1" applyBorder="1" applyAlignment="1" applyProtection="1">
      <alignment horizontal="righ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righ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4" fontId="4" fillId="0" borderId="16" xfId="0" applyNumberFormat="1" applyFont="1" applyFill="1" applyBorder="1" applyAlignment="1" applyProtection="1">
      <alignment horizontal="right" vertical="center"/>
    </xf>
    <xf numFmtId="0" fontId="4" fillId="0" borderId="16" xfId="0" applyNumberFormat="1" applyFont="1" applyFill="1" applyBorder="1" applyAlignment="1" applyProtection="1">
      <alignment horizontal="right" vertical="center"/>
    </xf>
    <xf numFmtId="0" fontId="3" fillId="0" borderId="19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3" fillId="0" borderId="15" xfId="0" applyNumberFormat="1" applyFont="1" applyFill="1" applyBorder="1" applyAlignment="1" applyProtection="1">
      <alignment horizontal="left" vertical="center"/>
    </xf>
    <xf numFmtId="0" fontId="4" fillId="0" borderId="16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0" fontId="3" fillId="0" borderId="22" xfId="0" applyNumberFormat="1" applyFont="1" applyFill="1" applyBorder="1" applyAlignment="1" applyProtection="1">
      <alignment horizontal="center" vertical="center"/>
    </xf>
    <xf numFmtId="0" fontId="9" fillId="2" borderId="12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0" fontId="5" fillId="0" borderId="23" xfId="0" applyNumberFormat="1" applyFont="1" applyFill="1" applyBorder="1" applyAlignment="1" applyProtection="1">
      <alignment horizontal="lef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0" fontId="5" fillId="0" borderId="16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25" xfId="0" applyNumberFormat="1" applyFont="1" applyFill="1" applyBorder="1" applyAlignment="1" applyProtection="1">
      <alignment horizontal="left" vertical="center"/>
    </xf>
    <xf numFmtId="4" fontId="5" fillId="0" borderId="10" xfId="0" applyNumberFormat="1" applyFont="1" applyFill="1" applyBorder="1" applyAlignment="1" applyProtection="1">
      <alignment horizontal="right" vertical="center"/>
    </xf>
    <xf numFmtId="4" fontId="4" fillId="0" borderId="3" xfId="0" applyNumberFormat="1" applyFont="1" applyFill="1" applyBorder="1" applyAlignment="1" applyProtection="1">
      <alignment horizontal="right" vertical="center"/>
    </xf>
    <xf numFmtId="4" fontId="4" fillId="0" borderId="8" xfId="0" applyNumberFormat="1" applyFont="1" applyFill="1" applyBorder="1" applyAlignment="1" applyProtection="1">
      <alignment horizontal="right" vertical="center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5" fillId="0" borderId="29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/>
    <xf numFmtId="0" fontId="3" fillId="0" borderId="19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right" vertical="center"/>
    </xf>
    <xf numFmtId="0" fontId="5" fillId="2" borderId="0" xfId="0" applyNumberFormat="1" applyFont="1" applyFill="1" applyBorder="1" applyAlignment="1" applyProtection="1">
      <alignment horizontal="left" vertical="center"/>
    </xf>
    <xf numFmtId="4" fontId="7" fillId="0" borderId="0" xfId="0" applyNumberFormat="1" applyFont="1" applyFill="1" applyBorder="1" applyAlignment="1" applyProtection="1">
      <alignment horizontal="right" vertical="center"/>
    </xf>
    <xf numFmtId="4" fontId="2" fillId="2" borderId="12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right" vertical="center"/>
    </xf>
    <xf numFmtId="4" fontId="4" fillId="0" borderId="12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5" fillId="2" borderId="4" xfId="0" applyNumberFormat="1" applyFont="1" applyFill="1" applyBorder="1" applyAlignment="1" applyProtection="1">
      <alignment horizontal="left" vertical="center"/>
    </xf>
    <xf numFmtId="4" fontId="2" fillId="2" borderId="16" xfId="0" applyNumberFormat="1" applyFont="1" applyFill="1" applyBorder="1" applyAlignment="1" applyProtection="1">
      <alignment horizontal="right" vertical="center"/>
    </xf>
    <xf numFmtId="0" fontId="9" fillId="2" borderId="3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0" borderId="17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5" fillId="0" borderId="30" xfId="0" applyNumberFormat="1" applyFont="1" applyFill="1" applyBorder="1" applyAlignment="1" applyProtection="1">
      <alignment horizontal="left" vertical="center" wrapText="1"/>
    </xf>
    <xf numFmtId="0" fontId="5" fillId="0" borderId="11" xfId="0" applyNumberFormat="1" applyFont="1" applyFill="1" applyBorder="1" applyAlignment="1" applyProtection="1">
      <alignment horizontal="left" vertical="center"/>
    </xf>
    <xf numFmtId="0" fontId="5" fillId="0" borderId="4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11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3" fillId="0" borderId="11" xfId="0" applyNumberFormat="1" applyFont="1" applyFill="1" applyBorder="1" applyAlignment="1" applyProtection="1">
      <alignment horizontal="left" vertical="center" wrapText="1"/>
    </xf>
    <xf numFmtId="0" fontId="3" fillId="0" borderId="11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5" fillId="0" borderId="24" xfId="0" applyNumberFormat="1" applyFont="1" applyFill="1" applyBorder="1" applyAlignment="1" applyProtection="1">
      <alignment horizontal="left" vertical="center"/>
    </xf>
    <xf numFmtId="0" fontId="5" fillId="0" borderId="8" xfId="0" applyNumberFormat="1" applyFont="1" applyFill="1" applyBorder="1" applyAlignment="1" applyProtection="1">
      <alignment horizontal="left" vertical="center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19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27" xfId="0" applyNumberFormat="1" applyFont="1" applyFill="1" applyBorder="1" applyAlignment="1" applyProtection="1">
      <alignment horizontal="center" vertical="center"/>
    </xf>
    <xf numFmtId="0" fontId="3" fillId="0" borderId="26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/>
    </xf>
    <xf numFmtId="0" fontId="5" fillId="0" borderId="10" xfId="0" applyNumberFormat="1" applyFont="1" applyFill="1" applyBorder="1" applyAlignment="1" applyProtection="1">
      <alignment horizontal="left" vertical="center" wrapText="1"/>
    </xf>
    <xf numFmtId="0" fontId="5" fillId="0" borderId="1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5" fillId="0" borderId="23" xfId="0" applyNumberFormat="1" applyFont="1" applyFill="1" applyBorder="1" applyAlignment="1" applyProtection="1">
      <alignment horizontal="left" vertical="center"/>
    </xf>
    <xf numFmtId="1" fontId="5" fillId="0" borderId="8" xfId="0" applyNumberFormat="1" applyFont="1" applyFill="1" applyBorder="1" applyAlignment="1" applyProtection="1">
      <alignment horizontal="left" vertical="center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16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6" fillId="0" borderId="9" xfId="0" applyNumberFormat="1" applyFont="1" applyFill="1" applyBorder="1" applyAlignment="1" applyProtection="1">
      <alignment horizontal="left" vertical="center"/>
    </xf>
    <xf numFmtId="0" fontId="6" fillId="0" borderId="12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4" fillId="0" borderId="10" xfId="0" applyNumberFormat="1" applyFont="1" applyFill="1" applyBorder="1" applyAlignment="1" applyProtection="1">
      <alignment horizontal="left" vertical="center"/>
    </xf>
    <xf numFmtId="0" fontId="4" fillId="0" borderId="16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8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left" vertical="center"/>
    </xf>
    <xf numFmtId="0" fontId="2" fillId="2" borderId="9" xfId="0" applyNumberFormat="1" applyFont="1" applyFill="1" applyBorder="1" applyAlignment="1" applyProtection="1">
      <alignment horizontal="left" vertical="center"/>
    </xf>
    <xf numFmtId="0" fontId="2" fillId="2" borderId="23" xfId="0" applyNumberFormat="1" applyFont="1" applyFill="1" applyBorder="1" applyAlignment="1" applyProtection="1">
      <alignment horizontal="left" vertical="center"/>
    </xf>
    <xf numFmtId="0" fontId="2" fillId="2" borderId="10" xfId="0" applyNumberFormat="1" applyFont="1" applyFill="1" applyBorder="1" applyAlignment="1" applyProtection="1">
      <alignment horizontal="left" vertical="center"/>
    </xf>
    <xf numFmtId="0" fontId="4" fillId="0" borderId="14" xfId="0" applyNumberFormat="1" applyFont="1" applyFill="1" applyBorder="1" applyAlignment="1" applyProtection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center"/>
    </xf>
    <xf numFmtId="0" fontId="4" fillId="0" borderId="6" xfId="0" applyNumberFormat="1" applyFont="1" applyFill="1" applyBorder="1" applyAlignment="1" applyProtection="1">
      <alignment horizontal="left" vertical="center"/>
    </xf>
    <xf numFmtId="0" fontId="4" fillId="0" borderId="20" xfId="0" applyNumberFormat="1" applyFont="1" applyFill="1" applyBorder="1" applyAlignment="1" applyProtection="1">
      <alignment horizontal="left" vertical="center"/>
    </xf>
    <xf numFmtId="0" fontId="4" fillId="0" borderId="31" xfId="0" applyNumberFormat="1" applyFont="1" applyFill="1" applyBorder="1" applyAlignment="1" applyProtection="1">
      <alignment horizontal="left" vertical="center"/>
    </xf>
    <xf numFmtId="0" fontId="4" fillId="0" borderId="33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4" fillId="0" borderId="17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27" xfId="0" applyNumberFormat="1" applyFont="1" applyFill="1" applyBorder="1" applyAlignment="1" applyProtection="1">
      <alignment horizontal="left" vertical="center"/>
    </xf>
    <xf numFmtId="0" fontId="3" fillId="0" borderId="26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left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0" fontId="3" fillId="0" borderId="15" xfId="0" applyNumberFormat="1" applyFont="1" applyFill="1" applyBorder="1" applyAlignment="1" applyProtection="1">
      <alignment horizontal="left" vertical="center"/>
    </xf>
    <xf numFmtId="0" fontId="2" fillId="0" borderId="28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4" fontId="2" fillId="0" borderId="13" xfId="0" applyNumberFormat="1" applyFont="1" applyFill="1" applyBorder="1" applyAlignment="1" applyProtection="1">
      <alignment horizontal="right" vertical="center"/>
    </xf>
    <xf numFmtId="0" fontId="2" fillId="0" borderId="13" xfId="0" applyNumberFormat="1" applyFont="1" applyFill="1" applyBorder="1" applyAlignment="1" applyProtection="1">
      <alignment horizontal="right" vertical="center"/>
    </xf>
    <xf numFmtId="0" fontId="2" fillId="0" borderId="15" xfId="0" applyNumberFormat="1" applyFont="1" applyFill="1" applyBorder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400050</xdr:colOff>
      <xdr:row>0</xdr:row>
      <xdr:rowOff>666750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 w="9525">
          <a:prstDash val="solid"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57150</xdr:colOff>
      <xdr:row>0</xdr:row>
      <xdr:rowOff>666750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 w="9525">
          <a:prstDash val="solid"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57150</xdr:colOff>
      <xdr:row>0</xdr:row>
      <xdr:rowOff>666750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 w="9525"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BW302"/>
  <sheetViews>
    <sheetView tabSelected="1" showOutlineSymbols="0" workbookViewId="0">
      <pane ySplit="11" topLeftCell="A12" activePane="bottomLeft" state="frozenSplit"/>
      <selection activeCell="A302" sqref="A302:K302"/>
      <selection pane="bottomLeft" sqref="A1:K1"/>
    </sheetView>
  </sheetViews>
  <sheetFormatPr defaultColWidth="14.1640625" defaultRowHeight="15" customHeight="1"/>
  <cols>
    <col min="1" max="1" width="4.6640625"/>
    <col min="2" max="2" width="20.83203125"/>
    <col min="3" max="3" width="50"/>
    <col min="4" max="4" width="41.6640625"/>
    <col min="5" max="5" width="6.83203125"/>
    <col min="6" max="6" width="15"/>
    <col min="7" max="7" width="14"/>
    <col min="8" max="10" width="18.33203125"/>
    <col min="11" max="11" width="15.6640625"/>
    <col min="25" max="75" width="14.1640625" hidden="1"/>
  </cols>
  <sheetData>
    <row r="1" spans="1:75" ht="54.75" customHeight="1">
      <c r="A1" s="59" t="s">
        <v>534</v>
      </c>
      <c r="B1" s="59"/>
      <c r="C1" s="59"/>
      <c r="D1" s="59"/>
      <c r="E1" s="59"/>
      <c r="F1" s="59"/>
      <c r="G1" s="59"/>
      <c r="H1" s="59"/>
      <c r="I1" s="59"/>
      <c r="J1" s="59"/>
      <c r="K1" s="59"/>
      <c r="AS1" s="35">
        <f>SUM(AJ1:AJ2)</f>
        <v>0</v>
      </c>
      <c r="AT1" s="35">
        <f>SUM(AK1:AK2)</f>
        <v>0</v>
      </c>
      <c r="AU1" s="35">
        <f>SUM(AL1:AL2)</f>
        <v>0</v>
      </c>
    </row>
    <row r="2" spans="1:75" ht="15" customHeight="1">
      <c r="A2" s="60" t="s">
        <v>38</v>
      </c>
      <c r="B2" s="61"/>
      <c r="C2" s="67" t="s">
        <v>660</v>
      </c>
      <c r="D2" s="68"/>
      <c r="E2" s="61" t="s">
        <v>2</v>
      </c>
      <c r="F2" s="61"/>
      <c r="G2" s="61" t="s">
        <v>544</v>
      </c>
      <c r="H2" s="65" t="s">
        <v>500</v>
      </c>
      <c r="I2" s="65" t="s">
        <v>296</v>
      </c>
      <c r="J2" s="61"/>
      <c r="K2" s="70"/>
    </row>
    <row r="3" spans="1:75" ht="15" customHeight="1">
      <c r="A3" s="62"/>
      <c r="B3" s="63"/>
      <c r="C3" s="69"/>
      <c r="D3" s="69"/>
      <c r="E3" s="63"/>
      <c r="F3" s="63"/>
      <c r="G3" s="63"/>
      <c r="H3" s="63"/>
      <c r="I3" s="63"/>
      <c r="J3" s="63"/>
      <c r="K3" s="71"/>
    </row>
    <row r="4" spans="1:75" ht="15" customHeight="1">
      <c r="A4" s="64" t="s">
        <v>333</v>
      </c>
      <c r="B4" s="63"/>
      <c r="C4" s="66" t="s">
        <v>346</v>
      </c>
      <c r="D4" s="63"/>
      <c r="E4" s="63" t="s">
        <v>525</v>
      </c>
      <c r="F4" s="63"/>
      <c r="G4" s="63" t="s">
        <v>1</v>
      </c>
      <c r="H4" s="66" t="s">
        <v>420</v>
      </c>
      <c r="I4" s="66" t="s">
        <v>70</v>
      </c>
      <c r="J4" s="63"/>
      <c r="K4" s="71"/>
    </row>
    <row r="5" spans="1:75" ht="15" customHeight="1">
      <c r="A5" s="62"/>
      <c r="B5" s="63"/>
      <c r="C5" s="63"/>
      <c r="D5" s="63"/>
      <c r="E5" s="63"/>
      <c r="F5" s="63"/>
      <c r="G5" s="63"/>
      <c r="H5" s="63"/>
      <c r="I5" s="63"/>
      <c r="J5" s="63"/>
      <c r="K5" s="71"/>
    </row>
    <row r="6" spans="1:75" ht="15" customHeight="1">
      <c r="A6" s="64" t="s">
        <v>50</v>
      </c>
      <c r="B6" s="63"/>
      <c r="C6" s="66" t="s">
        <v>536</v>
      </c>
      <c r="D6" s="63"/>
      <c r="E6" s="63" t="s">
        <v>190</v>
      </c>
      <c r="F6" s="63"/>
      <c r="G6" s="63" t="s">
        <v>544</v>
      </c>
      <c r="H6" s="66" t="s">
        <v>516</v>
      </c>
      <c r="I6" s="63" t="s">
        <v>288</v>
      </c>
      <c r="J6" s="63"/>
      <c r="K6" s="71"/>
    </row>
    <row r="7" spans="1:75" ht="15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71"/>
    </row>
    <row r="8" spans="1:75" ht="15" customHeight="1">
      <c r="A8" s="64" t="s">
        <v>297</v>
      </c>
      <c r="B8" s="63"/>
      <c r="C8" s="66" t="s">
        <v>544</v>
      </c>
      <c r="D8" s="63"/>
      <c r="E8" s="63" t="s">
        <v>340</v>
      </c>
      <c r="F8" s="63"/>
      <c r="G8" s="63" t="s">
        <v>356</v>
      </c>
      <c r="H8" s="66" t="s">
        <v>404</v>
      </c>
      <c r="I8" s="66" t="s">
        <v>25</v>
      </c>
      <c r="J8" s="63"/>
      <c r="K8" s="71"/>
    </row>
    <row r="9" spans="1:75" ht="15" customHeight="1">
      <c r="A9" s="62"/>
      <c r="B9" s="63"/>
      <c r="C9" s="63"/>
      <c r="D9" s="63"/>
      <c r="E9" s="63"/>
      <c r="F9" s="63"/>
      <c r="G9" s="63"/>
      <c r="H9" s="63"/>
      <c r="I9" s="63"/>
      <c r="J9" s="63"/>
      <c r="K9" s="71"/>
    </row>
    <row r="10" spans="1:75" ht="15" customHeight="1">
      <c r="A10" s="39" t="s">
        <v>45</v>
      </c>
      <c r="B10" s="26" t="s">
        <v>196</v>
      </c>
      <c r="C10" s="72" t="s">
        <v>633</v>
      </c>
      <c r="D10" s="73"/>
      <c r="E10" s="26" t="s">
        <v>207</v>
      </c>
      <c r="F10" s="46" t="s">
        <v>359</v>
      </c>
      <c r="G10" s="27" t="s">
        <v>187</v>
      </c>
      <c r="H10" s="76" t="s">
        <v>386</v>
      </c>
      <c r="I10" s="77"/>
      <c r="J10" s="78"/>
      <c r="K10" s="46" t="s">
        <v>161</v>
      </c>
      <c r="BK10" s="21" t="s">
        <v>245</v>
      </c>
      <c r="BL10" s="57" t="s">
        <v>320</v>
      </c>
      <c r="BW10" s="57" t="s">
        <v>648</v>
      </c>
    </row>
    <row r="11" spans="1:75" ht="15" customHeight="1">
      <c r="A11" s="44" t="s">
        <v>544</v>
      </c>
      <c r="B11" s="1" t="s">
        <v>544</v>
      </c>
      <c r="C11" s="74" t="s">
        <v>582</v>
      </c>
      <c r="D11" s="75"/>
      <c r="E11" s="1" t="s">
        <v>544</v>
      </c>
      <c r="F11" s="1" t="s">
        <v>544</v>
      </c>
      <c r="G11" s="38" t="s">
        <v>555</v>
      </c>
      <c r="H11" s="31" t="s">
        <v>29</v>
      </c>
      <c r="I11" s="20" t="s">
        <v>117</v>
      </c>
      <c r="J11" s="58" t="s">
        <v>58</v>
      </c>
      <c r="K11" s="20" t="s">
        <v>152</v>
      </c>
      <c r="Z11" s="21" t="s">
        <v>464</v>
      </c>
      <c r="AA11" s="21" t="s">
        <v>370</v>
      </c>
      <c r="AB11" s="21" t="s">
        <v>604</v>
      </c>
      <c r="AC11" s="21" t="s">
        <v>167</v>
      </c>
      <c r="AD11" s="21" t="s">
        <v>503</v>
      </c>
      <c r="AE11" s="21" t="s">
        <v>225</v>
      </c>
      <c r="AF11" s="21" t="s">
        <v>529</v>
      </c>
      <c r="AG11" s="21" t="s">
        <v>264</v>
      </c>
      <c r="AH11" s="21" t="s">
        <v>155</v>
      </c>
      <c r="BH11" s="21" t="s">
        <v>466</v>
      </c>
      <c r="BI11" s="21" t="s">
        <v>591</v>
      </c>
      <c r="BJ11" s="21" t="s">
        <v>641</v>
      </c>
    </row>
    <row r="12" spans="1:75" ht="15" customHeight="1">
      <c r="A12" s="9" t="s">
        <v>421</v>
      </c>
      <c r="B12" s="37" t="s">
        <v>322</v>
      </c>
      <c r="C12" s="79" t="s">
        <v>363</v>
      </c>
      <c r="D12" s="80"/>
      <c r="E12" s="48" t="s">
        <v>544</v>
      </c>
      <c r="F12" s="48" t="s">
        <v>544</v>
      </c>
      <c r="G12" s="48" t="s">
        <v>544</v>
      </c>
      <c r="H12" s="19">
        <f>SUM(H13:H15)</f>
        <v>0</v>
      </c>
      <c r="I12" s="19">
        <f>SUM(I13:I15)</f>
        <v>0</v>
      </c>
      <c r="J12" s="19">
        <f>SUM(J13:J15)</f>
        <v>0</v>
      </c>
      <c r="K12" s="10" t="s">
        <v>421</v>
      </c>
      <c r="AI12" s="21" t="s">
        <v>421</v>
      </c>
      <c r="AS12" s="35">
        <f>SUM(AJ13:AJ15)</f>
        <v>0</v>
      </c>
      <c r="AT12" s="35">
        <f>SUM(AK13:AK15)</f>
        <v>0</v>
      </c>
      <c r="AU12" s="35">
        <f>SUM(AL13:AL15)</f>
        <v>0</v>
      </c>
    </row>
    <row r="13" spans="1:75" ht="13.5" customHeight="1">
      <c r="A13" s="2" t="s">
        <v>578</v>
      </c>
      <c r="B13" s="5" t="s">
        <v>553</v>
      </c>
      <c r="C13" s="66" t="s">
        <v>317</v>
      </c>
      <c r="D13" s="63"/>
      <c r="E13" s="5" t="s">
        <v>449</v>
      </c>
      <c r="F13" s="33">
        <v>1</v>
      </c>
      <c r="G13" s="33">
        <v>0</v>
      </c>
      <c r="H13" s="33">
        <f>F13*AO13</f>
        <v>0</v>
      </c>
      <c r="I13" s="33">
        <f>F13*AP13</f>
        <v>0</v>
      </c>
      <c r="J13" s="33">
        <f>F13*G13</f>
        <v>0</v>
      </c>
      <c r="K13" s="6" t="s">
        <v>421</v>
      </c>
      <c r="Z13" s="33">
        <f>IF(AQ13="5",BJ13,0)</f>
        <v>0</v>
      </c>
      <c r="AB13" s="33">
        <f>IF(AQ13="1",BH13,0)</f>
        <v>0</v>
      </c>
      <c r="AC13" s="33">
        <f>IF(AQ13="1",BI13,0)</f>
        <v>0</v>
      </c>
      <c r="AD13" s="33">
        <f>IF(AQ13="7",BH13,0)</f>
        <v>0</v>
      </c>
      <c r="AE13" s="33">
        <f>IF(AQ13="7",BI13,0)</f>
        <v>0</v>
      </c>
      <c r="AF13" s="33">
        <f>IF(AQ13="2",BH13,0)</f>
        <v>0</v>
      </c>
      <c r="AG13" s="33">
        <f>IF(AQ13="2",BI13,0)</f>
        <v>0</v>
      </c>
      <c r="AH13" s="33">
        <f>IF(AQ13="0",BJ13,0)</f>
        <v>0</v>
      </c>
      <c r="AI13" s="21" t="s">
        <v>421</v>
      </c>
      <c r="AJ13" s="33">
        <f>IF(AN13=0,J13,0)</f>
        <v>0</v>
      </c>
      <c r="AK13" s="33">
        <f>IF(AN13=15,J13,0)</f>
        <v>0</v>
      </c>
      <c r="AL13" s="33">
        <f>IF(AN13=21,J13,0)</f>
        <v>0</v>
      </c>
      <c r="AN13" s="33">
        <v>21</v>
      </c>
      <c r="AO13" s="33">
        <f>G13*0</f>
        <v>0</v>
      </c>
      <c r="AP13" s="33">
        <f>G13*(1-0)</f>
        <v>0</v>
      </c>
      <c r="AQ13" s="51" t="s">
        <v>578</v>
      </c>
      <c r="AV13" s="33">
        <f>AW13+AX13</f>
        <v>0</v>
      </c>
      <c r="AW13" s="33">
        <f>F13*AO13</f>
        <v>0</v>
      </c>
      <c r="AX13" s="33">
        <f>F13*AP13</f>
        <v>0</v>
      </c>
      <c r="AY13" s="51" t="s">
        <v>522</v>
      </c>
      <c r="AZ13" s="51" t="s">
        <v>522</v>
      </c>
      <c r="BA13" s="21" t="s">
        <v>457</v>
      </c>
      <c r="BC13" s="33">
        <f>AW13+AX13</f>
        <v>0</v>
      </c>
      <c r="BD13" s="33">
        <f>G13/(100-BE13)*100</f>
        <v>0</v>
      </c>
      <c r="BE13" s="33">
        <v>0</v>
      </c>
      <c r="BF13" s="33">
        <f>13</f>
        <v>13</v>
      </c>
      <c r="BH13" s="33">
        <f>F13*AO13</f>
        <v>0</v>
      </c>
      <c r="BI13" s="33">
        <f>F13*AP13</f>
        <v>0</v>
      </c>
      <c r="BJ13" s="33">
        <f>F13*G13</f>
        <v>0</v>
      </c>
      <c r="BK13" s="33"/>
      <c r="BL13" s="33">
        <v>0</v>
      </c>
      <c r="BW13" s="33">
        <v>21</v>
      </c>
    </row>
    <row r="14" spans="1:75" ht="15" customHeight="1">
      <c r="A14" s="45"/>
      <c r="C14" s="13" t="s">
        <v>100</v>
      </c>
      <c r="D14" s="13" t="s">
        <v>421</v>
      </c>
      <c r="F14" s="49">
        <v>1</v>
      </c>
      <c r="K14" s="7"/>
    </row>
    <row r="15" spans="1:75" ht="13.5" customHeight="1">
      <c r="A15" s="2" t="s">
        <v>419</v>
      </c>
      <c r="B15" s="5" t="s">
        <v>19</v>
      </c>
      <c r="C15" s="66" t="s">
        <v>84</v>
      </c>
      <c r="D15" s="63"/>
      <c r="E15" s="5" t="s">
        <v>449</v>
      </c>
      <c r="F15" s="33">
        <v>1</v>
      </c>
      <c r="G15" s="33">
        <v>0</v>
      </c>
      <c r="H15" s="33">
        <f>F15*AO15</f>
        <v>0</v>
      </c>
      <c r="I15" s="33">
        <f>F15*AP15</f>
        <v>0</v>
      </c>
      <c r="J15" s="33">
        <f>F15*G15</f>
        <v>0</v>
      </c>
      <c r="K15" s="6" t="s">
        <v>421</v>
      </c>
      <c r="Z15" s="33">
        <f>IF(AQ15="5",BJ15,0)</f>
        <v>0</v>
      </c>
      <c r="AB15" s="33">
        <f>IF(AQ15="1",BH15,0)</f>
        <v>0</v>
      </c>
      <c r="AC15" s="33">
        <f>IF(AQ15="1",BI15,0)</f>
        <v>0</v>
      </c>
      <c r="AD15" s="33">
        <f>IF(AQ15="7",BH15,0)</f>
        <v>0</v>
      </c>
      <c r="AE15" s="33">
        <f>IF(AQ15="7",BI15,0)</f>
        <v>0</v>
      </c>
      <c r="AF15" s="33">
        <f>IF(AQ15="2",BH15,0)</f>
        <v>0</v>
      </c>
      <c r="AG15" s="33">
        <f>IF(AQ15="2",BI15,0)</f>
        <v>0</v>
      </c>
      <c r="AH15" s="33">
        <f>IF(AQ15="0",BJ15,0)</f>
        <v>0</v>
      </c>
      <c r="AI15" s="21" t="s">
        <v>421</v>
      </c>
      <c r="AJ15" s="33">
        <f>IF(AN15=0,J15,0)</f>
        <v>0</v>
      </c>
      <c r="AK15" s="33">
        <f>IF(AN15=15,J15,0)</f>
        <v>0</v>
      </c>
      <c r="AL15" s="33">
        <f>IF(AN15=21,J15,0)</f>
        <v>0</v>
      </c>
      <c r="AN15" s="33">
        <v>21</v>
      </c>
      <c r="AO15" s="33">
        <f>G15*0</f>
        <v>0</v>
      </c>
      <c r="AP15" s="33">
        <f>G15*(1-0)</f>
        <v>0</v>
      </c>
      <c r="AQ15" s="51" t="s">
        <v>578</v>
      </c>
      <c r="AV15" s="33">
        <f>AW15+AX15</f>
        <v>0</v>
      </c>
      <c r="AW15" s="33">
        <f>F15*AO15</f>
        <v>0</v>
      </c>
      <c r="AX15" s="33">
        <f>F15*AP15</f>
        <v>0</v>
      </c>
      <c r="AY15" s="51" t="s">
        <v>522</v>
      </c>
      <c r="AZ15" s="51" t="s">
        <v>522</v>
      </c>
      <c r="BA15" s="21" t="s">
        <v>457</v>
      </c>
      <c r="BC15" s="33">
        <f>AW15+AX15</f>
        <v>0</v>
      </c>
      <c r="BD15" s="33">
        <f>G15/(100-BE15)*100</f>
        <v>0</v>
      </c>
      <c r="BE15" s="33">
        <v>0</v>
      </c>
      <c r="BF15" s="33">
        <f>15</f>
        <v>15</v>
      </c>
      <c r="BH15" s="33">
        <f>F15*AO15</f>
        <v>0</v>
      </c>
      <c r="BI15" s="33">
        <f>F15*AP15</f>
        <v>0</v>
      </c>
      <c r="BJ15" s="33">
        <f>F15*G15</f>
        <v>0</v>
      </c>
      <c r="BK15" s="33"/>
      <c r="BL15" s="33">
        <v>0</v>
      </c>
      <c r="BW15" s="33">
        <v>21</v>
      </c>
    </row>
    <row r="16" spans="1:75" ht="15" customHeight="1">
      <c r="A16" s="45"/>
      <c r="C16" s="13" t="s">
        <v>141</v>
      </c>
      <c r="D16" s="13" t="s">
        <v>421</v>
      </c>
      <c r="F16" s="49">
        <v>1</v>
      </c>
      <c r="K16" s="7"/>
    </row>
    <row r="17" spans="1:75" ht="15" customHeight="1">
      <c r="A17" s="54" t="s">
        <v>421</v>
      </c>
      <c r="B17" s="22" t="s">
        <v>497</v>
      </c>
      <c r="C17" s="79" t="s">
        <v>334</v>
      </c>
      <c r="D17" s="80"/>
      <c r="E17" s="3" t="s">
        <v>544</v>
      </c>
      <c r="F17" s="3" t="s">
        <v>544</v>
      </c>
      <c r="G17" s="3" t="s">
        <v>544</v>
      </c>
      <c r="H17" s="35">
        <f>SUM(H18:H22)</f>
        <v>0</v>
      </c>
      <c r="I17" s="35">
        <f>SUM(I18:I22)</f>
        <v>0</v>
      </c>
      <c r="J17" s="35">
        <f>SUM(J18:J22)</f>
        <v>0</v>
      </c>
      <c r="K17" s="16" t="s">
        <v>421</v>
      </c>
      <c r="AI17" s="21" t="s">
        <v>421</v>
      </c>
      <c r="AS17" s="35">
        <f>SUM(AJ18:AJ22)</f>
        <v>0</v>
      </c>
      <c r="AT17" s="35">
        <f>SUM(AK18:AK22)</f>
        <v>0</v>
      </c>
      <c r="AU17" s="35">
        <f>SUM(AL18:AL22)</f>
        <v>0</v>
      </c>
    </row>
    <row r="18" spans="1:75" ht="13.5" customHeight="1">
      <c r="A18" s="2" t="s">
        <v>507</v>
      </c>
      <c r="B18" s="5" t="s">
        <v>439</v>
      </c>
      <c r="C18" s="66" t="s">
        <v>377</v>
      </c>
      <c r="D18" s="63"/>
      <c r="E18" s="5" t="s">
        <v>492</v>
      </c>
      <c r="F18" s="33">
        <v>1</v>
      </c>
      <c r="G18" s="33">
        <v>0</v>
      </c>
      <c r="H18" s="33">
        <f>F18*AO18</f>
        <v>0</v>
      </c>
      <c r="I18" s="33">
        <f>F18*AP18</f>
        <v>0</v>
      </c>
      <c r="J18" s="33">
        <f>F18*G18</f>
        <v>0</v>
      </c>
      <c r="K18" s="6" t="s">
        <v>416</v>
      </c>
      <c r="Z18" s="33">
        <f>IF(AQ18="5",BJ18,0)</f>
        <v>0</v>
      </c>
      <c r="AB18" s="33">
        <f>IF(AQ18="1",BH18,0)</f>
        <v>0</v>
      </c>
      <c r="AC18" s="33">
        <f>IF(AQ18="1",BI18,0)</f>
        <v>0</v>
      </c>
      <c r="AD18" s="33">
        <f>IF(AQ18="7",BH18,0)</f>
        <v>0</v>
      </c>
      <c r="AE18" s="33">
        <f>IF(AQ18="7",BI18,0)</f>
        <v>0</v>
      </c>
      <c r="AF18" s="33">
        <f>IF(AQ18="2",BH18,0)</f>
        <v>0</v>
      </c>
      <c r="AG18" s="33">
        <f>IF(AQ18="2",BI18,0)</f>
        <v>0</v>
      </c>
      <c r="AH18" s="33">
        <f>IF(AQ18="0",BJ18,0)</f>
        <v>0</v>
      </c>
      <c r="AI18" s="21" t="s">
        <v>421</v>
      </c>
      <c r="AJ18" s="33">
        <f>IF(AN18=0,J18,0)</f>
        <v>0</v>
      </c>
      <c r="AK18" s="33">
        <f>IF(AN18=15,J18,0)</f>
        <v>0</v>
      </c>
      <c r="AL18" s="33">
        <f>IF(AN18=21,J18,0)</f>
        <v>0</v>
      </c>
      <c r="AN18" s="33">
        <v>21</v>
      </c>
      <c r="AO18" s="33">
        <f>G18*0.352956636005256</f>
        <v>0</v>
      </c>
      <c r="AP18" s="33">
        <f>G18*(1-0.352956636005256)</f>
        <v>0</v>
      </c>
      <c r="AQ18" s="51" t="s">
        <v>578</v>
      </c>
      <c r="AV18" s="33">
        <f>AW18+AX18</f>
        <v>0</v>
      </c>
      <c r="AW18" s="33">
        <f>F18*AO18</f>
        <v>0</v>
      </c>
      <c r="AX18" s="33">
        <f>F18*AP18</f>
        <v>0</v>
      </c>
      <c r="AY18" s="51" t="s">
        <v>63</v>
      </c>
      <c r="AZ18" s="51" t="s">
        <v>65</v>
      </c>
      <c r="BA18" s="21" t="s">
        <v>457</v>
      </c>
      <c r="BC18" s="33">
        <f>AW18+AX18</f>
        <v>0</v>
      </c>
      <c r="BD18" s="33">
        <f>G18/(100-BE18)*100</f>
        <v>0</v>
      </c>
      <c r="BE18" s="33">
        <v>0</v>
      </c>
      <c r="BF18" s="33">
        <f>18</f>
        <v>18</v>
      </c>
      <c r="BH18" s="33">
        <f>F18*AO18</f>
        <v>0</v>
      </c>
      <c r="BI18" s="33">
        <f>F18*AP18</f>
        <v>0</v>
      </c>
      <c r="BJ18" s="33">
        <f>F18*G18</f>
        <v>0</v>
      </c>
      <c r="BK18" s="33"/>
      <c r="BL18" s="33">
        <v>11</v>
      </c>
      <c r="BW18" s="33">
        <v>21</v>
      </c>
    </row>
    <row r="19" spans="1:75" ht="15" customHeight="1">
      <c r="A19" s="45"/>
      <c r="C19" s="13" t="s">
        <v>12</v>
      </c>
      <c r="D19" s="13" t="s">
        <v>421</v>
      </c>
      <c r="F19" s="49">
        <v>1</v>
      </c>
      <c r="K19" s="7"/>
    </row>
    <row r="20" spans="1:75" ht="13.5" customHeight="1">
      <c r="A20" s="2" t="s">
        <v>66</v>
      </c>
      <c r="B20" s="5" t="s">
        <v>603</v>
      </c>
      <c r="C20" s="66" t="s">
        <v>121</v>
      </c>
      <c r="D20" s="63"/>
      <c r="E20" s="5" t="s">
        <v>492</v>
      </c>
      <c r="F20" s="33">
        <v>1</v>
      </c>
      <c r="G20" s="33">
        <v>0</v>
      </c>
      <c r="H20" s="33">
        <f>F20*AO20</f>
        <v>0</v>
      </c>
      <c r="I20" s="33">
        <f>F20*AP20</f>
        <v>0</v>
      </c>
      <c r="J20" s="33">
        <f>F20*G20</f>
        <v>0</v>
      </c>
      <c r="K20" s="6" t="s">
        <v>416</v>
      </c>
      <c r="Z20" s="33">
        <f>IF(AQ20="5",BJ20,0)</f>
        <v>0</v>
      </c>
      <c r="AB20" s="33">
        <f>IF(AQ20="1",BH20,0)</f>
        <v>0</v>
      </c>
      <c r="AC20" s="33">
        <f>IF(AQ20="1",BI20,0)</f>
        <v>0</v>
      </c>
      <c r="AD20" s="33">
        <f>IF(AQ20="7",BH20,0)</f>
        <v>0</v>
      </c>
      <c r="AE20" s="33">
        <f>IF(AQ20="7",BI20,0)</f>
        <v>0</v>
      </c>
      <c r="AF20" s="33">
        <f>IF(AQ20="2",BH20,0)</f>
        <v>0</v>
      </c>
      <c r="AG20" s="33">
        <f>IF(AQ20="2",BI20,0)</f>
        <v>0</v>
      </c>
      <c r="AH20" s="33">
        <f>IF(AQ20="0",BJ20,0)</f>
        <v>0</v>
      </c>
      <c r="AI20" s="21" t="s">
        <v>421</v>
      </c>
      <c r="AJ20" s="33">
        <f>IF(AN20=0,J20,0)</f>
        <v>0</v>
      </c>
      <c r="AK20" s="33">
        <f>IF(AN20=15,J20,0)</f>
        <v>0</v>
      </c>
      <c r="AL20" s="33">
        <f>IF(AN20=21,J20,0)</f>
        <v>0</v>
      </c>
      <c r="AN20" s="33">
        <v>21</v>
      </c>
      <c r="AO20" s="33">
        <f>G20*0.310805661046794</f>
        <v>0</v>
      </c>
      <c r="AP20" s="33">
        <f>G20*(1-0.310805661046794)</f>
        <v>0</v>
      </c>
      <c r="AQ20" s="51" t="s">
        <v>578</v>
      </c>
      <c r="AV20" s="33">
        <f>AW20+AX20</f>
        <v>0</v>
      </c>
      <c r="AW20" s="33">
        <f>F20*AO20</f>
        <v>0</v>
      </c>
      <c r="AX20" s="33">
        <f>F20*AP20</f>
        <v>0</v>
      </c>
      <c r="AY20" s="51" t="s">
        <v>63</v>
      </c>
      <c r="AZ20" s="51" t="s">
        <v>65</v>
      </c>
      <c r="BA20" s="21" t="s">
        <v>457</v>
      </c>
      <c r="BC20" s="33">
        <f>AW20+AX20</f>
        <v>0</v>
      </c>
      <c r="BD20" s="33">
        <f>G20/(100-BE20)*100</f>
        <v>0</v>
      </c>
      <c r="BE20" s="33">
        <v>0</v>
      </c>
      <c r="BF20" s="33">
        <f>20</f>
        <v>20</v>
      </c>
      <c r="BH20" s="33">
        <f>F20*AO20</f>
        <v>0</v>
      </c>
      <c r="BI20" s="33">
        <f>F20*AP20</f>
        <v>0</v>
      </c>
      <c r="BJ20" s="33">
        <f>F20*G20</f>
        <v>0</v>
      </c>
      <c r="BK20" s="33"/>
      <c r="BL20" s="33">
        <v>11</v>
      </c>
      <c r="BW20" s="33">
        <v>21</v>
      </c>
    </row>
    <row r="21" spans="1:75" ht="15" customHeight="1">
      <c r="A21" s="45"/>
      <c r="C21" s="13" t="s">
        <v>578</v>
      </c>
      <c r="D21" s="13" t="s">
        <v>421</v>
      </c>
      <c r="F21" s="49">
        <v>1</v>
      </c>
      <c r="K21" s="7"/>
    </row>
    <row r="22" spans="1:75" ht="13.5" customHeight="1">
      <c r="A22" s="2" t="s">
        <v>326</v>
      </c>
      <c r="B22" s="5" t="s">
        <v>613</v>
      </c>
      <c r="C22" s="66" t="s">
        <v>260</v>
      </c>
      <c r="D22" s="63"/>
      <c r="E22" s="5" t="s">
        <v>571</v>
      </c>
      <c r="F22" s="33">
        <v>5</v>
      </c>
      <c r="G22" s="33">
        <v>0</v>
      </c>
      <c r="H22" s="33">
        <f>F22*AO22</f>
        <v>0</v>
      </c>
      <c r="I22" s="33">
        <f>F22*AP22</f>
        <v>0</v>
      </c>
      <c r="J22" s="33">
        <f>F22*G22</f>
        <v>0</v>
      </c>
      <c r="K22" s="6" t="s">
        <v>416</v>
      </c>
      <c r="Z22" s="33">
        <f>IF(AQ22="5",BJ22,0)</f>
        <v>0</v>
      </c>
      <c r="AB22" s="33">
        <f>IF(AQ22="1",BH22,0)</f>
        <v>0</v>
      </c>
      <c r="AC22" s="33">
        <f>IF(AQ22="1",BI22,0)</f>
        <v>0</v>
      </c>
      <c r="AD22" s="33">
        <f>IF(AQ22="7",BH22,0)</f>
        <v>0</v>
      </c>
      <c r="AE22" s="33">
        <f>IF(AQ22="7",BI22,0)</f>
        <v>0</v>
      </c>
      <c r="AF22" s="33">
        <f>IF(AQ22="2",BH22,0)</f>
        <v>0</v>
      </c>
      <c r="AG22" s="33">
        <f>IF(AQ22="2",BI22,0)</f>
        <v>0</v>
      </c>
      <c r="AH22" s="33">
        <f>IF(AQ22="0",BJ22,0)</f>
        <v>0</v>
      </c>
      <c r="AI22" s="21" t="s">
        <v>421</v>
      </c>
      <c r="AJ22" s="33">
        <f>IF(AN22=0,J22,0)</f>
        <v>0</v>
      </c>
      <c r="AK22" s="33">
        <f>IF(AN22=15,J22,0)</f>
        <v>0</v>
      </c>
      <c r="AL22" s="33">
        <f>IF(AN22=21,J22,0)</f>
        <v>0</v>
      </c>
      <c r="AN22" s="33">
        <v>21</v>
      </c>
      <c r="AO22" s="33">
        <f>G22*0</f>
        <v>0</v>
      </c>
      <c r="AP22" s="33">
        <f>G22*(1-0)</f>
        <v>0</v>
      </c>
      <c r="AQ22" s="51" t="s">
        <v>578</v>
      </c>
      <c r="AV22" s="33">
        <f>AW22+AX22</f>
        <v>0</v>
      </c>
      <c r="AW22" s="33">
        <f>F22*AO22</f>
        <v>0</v>
      </c>
      <c r="AX22" s="33">
        <f>F22*AP22</f>
        <v>0</v>
      </c>
      <c r="AY22" s="51" t="s">
        <v>63</v>
      </c>
      <c r="AZ22" s="51" t="s">
        <v>65</v>
      </c>
      <c r="BA22" s="21" t="s">
        <v>457</v>
      </c>
      <c r="BC22" s="33">
        <f>AW22+AX22</f>
        <v>0</v>
      </c>
      <c r="BD22" s="33">
        <f>G22/(100-BE22)*100</f>
        <v>0</v>
      </c>
      <c r="BE22" s="33">
        <v>0</v>
      </c>
      <c r="BF22" s="33">
        <f>22</f>
        <v>22</v>
      </c>
      <c r="BH22" s="33">
        <f>F22*AO22</f>
        <v>0</v>
      </c>
      <c r="BI22" s="33">
        <f>F22*AP22</f>
        <v>0</v>
      </c>
      <c r="BJ22" s="33">
        <f>F22*G22</f>
        <v>0</v>
      </c>
      <c r="BK22" s="33"/>
      <c r="BL22" s="33">
        <v>11</v>
      </c>
      <c r="BW22" s="33">
        <v>21</v>
      </c>
    </row>
    <row r="23" spans="1:75" ht="15" customHeight="1">
      <c r="A23" s="45"/>
      <c r="C23" s="13" t="s">
        <v>326</v>
      </c>
      <c r="D23" s="13" t="s">
        <v>421</v>
      </c>
      <c r="F23" s="49">
        <v>5</v>
      </c>
      <c r="K23" s="7"/>
    </row>
    <row r="24" spans="1:75" ht="15" customHeight="1">
      <c r="A24" s="54" t="s">
        <v>421</v>
      </c>
      <c r="B24" s="22" t="s">
        <v>174</v>
      </c>
      <c r="C24" s="79" t="s">
        <v>3</v>
      </c>
      <c r="D24" s="80"/>
      <c r="E24" s="3" t="s">
        <v>544</v>
      </c>
      <c r="F24" s="3" t="s">
        <v>544</v>
      </c>
      <c r="G24" s="3" t="s">
        <v>544</v>
      </c>
      <c r="H24" s="35">
        <f>SUM(H25:H35)</f>
        <v>0</v>
      </c>
      <c r="I24" s="35">
        <f>SUM(I25:I35)</f>
        <v>0</v>
      </c>
      <c r="J24" s="35">
        <f>SUM(J25:J35)</f>
        <v>0</v>
      </c>
      <c r="K24" s="16" t="s">
        <v>421</v>
      </c>
      <c r="AI24" s="21" t="s">
        <v>421</v>
      </c>
      <c r="AS24" s="35">
        <f>SUM(AJ25:AJ35)</f>
        <v>0</v>
      </c>
      <c r="AT24" s="35">
        <f>SUM(AK25:AK35)</f>
        <v>0</v>
      </c>
      <c r="AU24" s="35">
        <f>SUM(AL25:AL35)</f>
        <v>0</v>
      </c>
    </row>
    <row r="25" spans="1:75" ht="13.5" customHeight="1">
      <c r="A25" s="2" t="s">
        <v>98</v>
      </c>
      <c r="B25" s="5" t="s">
        <v>584</v>
      </c>
      <c r="C25" s="66" t="s">
        <v>594</v>
      </c>
      <c r="D25" s="63"/>
      <c r="E25" s="5" t="s">
        <v>562</v>
      </c>
      <c r="F25" s="33">
        <v>76.257499999999993</v>
      </c>
      <c r="G25" s="33">
        <v>0</v>
      </c>
      <c r="H25" s="33">
        <f>F25*AO25</f>
        <v>0</v>
      </c>
      <c r="I25" s="33">
        <f>F25*AP25</f>
        <v>0</v>
      </c>
      <c r="J25" s="33">
        <f>F25*G25</f>
        <v>0</v>
      </c>
      <c r="K25" s="6" t="s">
        <v>416</v>
      </c>
      <c r="Z25" s="33">
        <f>IF(AQ25="5",BJ25,0)</f>
        <v>0</v>
      </c>
      <c r="AB25" s="33">
        <f>IF(AQ25="1",BH25,0)</f>
        <v>0</v>
      </c>
      <c r="AC25" s="33">
        <f>IF(AQ25="1",BI25,0)</f>
        <v>0</v>
      </c>
      <c r="AD25" s="33">
        <f>IF(AQ25="7",BH25,0)</f>
        <v>0</v>
      </c>
      <c r="AE25" s="33">
        <f>IF(AQ25="7",BI25,0)</f>
        <v>0</v>
      </c>
      <c r="AF25" s="33">
        <f>IF(AQ25="2",BH25,0)</f>
        <v>0</v>
      </c>
      <c r="AG25" s="33">
        <f>IF(AQ25="2",BI25,0)</f>
        <v>0</v>
      </c>
      <c r="AH25" s="33">
        <f>IF(AQ25="0",BJ25,0)</f>
        <v>0</v>
      </c>
      <c r="AI25" s="21" t="s">
        <v>421</v>
      </c>
      <c r="AJ25" s="33">
        <f>IF(AN25=0,J25,0)</f>
        <v>0</v>
      </c>
      <c r="AK25" s="33">
        <f>IF(AN25=15,J25,0)</f>
        <v>0</v>
      </c>
      <c r="AL25" s="33">
        <f>IF(AN25=21,J25,0)</f>
        <v>0</v>
      </c>
      <c r="AN25" s="33">
        <v>21</v>
      </c>
      <c r="AO25" s="33">
        <f>G25*0</f>
        <v>0</v>
      </c>
      <c r="AP25" s="33">
        <f>G25*(1-0)</f>
        <v>0</v>
      </c>
      <c r="AQ25" s="51" t="s">
        <v>578</v>
      </c>
      <c r="AV25" s="33">
        <f>AW25+AX25</f>
        <v>0</v>
      </c>
      <c r="AW25" s="33">
        <f>F25*AO25</f>
        <v>0</v>
      </c>
      <c r="AX25" s="33">
        <f>F25*AP25</f>
        <v>0</v>
      </c>
      <c r="AY25" s="51" t="s">
        <v>532</v>
      </c>
      <c r="AZ25" s="51" t="s">
        <v>65</v>
      </c>
      <c r="BA25" s="21" t="s">
        <v>457</v>
      </c>
      <c r="BC25" s="33">
        <f>AW25+AX25</f>
        <v>0</v>
      </c>
      <c r="BD25" s="33">
        <f>G25/(100-BE25)*100</f>
        <v>0</v>
      </c>
      <c r="BE25" s="33">
        <v>0</v>
      </c>
      <c r="BF25" s="33">
        <f>25</f>
        <v>25</v>
      </c>
      <c r="BH25" s="33">
        <f>F25*AO25</f>
        <v>0</v>
      </c>
      <c r="BI25" s="33">
        <f>F25*AP25</f>
        <v>0</v>
      </c>
      <c r="BJ25" s="33">
        <f>F25*G25</f>
        <v>0</v>
      </c>
      <c r="BK25" s="33"/>
      <c r="BL25" s="33">
        <v>13</v>
      </c>
      <c r="BW25" s="33">
        <v>21</v>
      </c>
    </row>
    <row r="26" spans="1:75" ht="15" customHeight="1">
      <c r="A26" s="45"/>
      <c r="C26" s="13" t="s">
        <v>94</v>
      </c>
      <c r="D26" s="13" t="s">
        <v>421</v>
      </c>
      <c r="F26" s="49">
        <v>76.257500000000007</v>
      </c>
      <c r="K26" s="7"/>
    </row>
    <row r="27" spans="1:75" ht="13.5" customHeight="1">
      <c r="A27" s="2" t="s">
        <v>581</v>
      </c>
      <c r="B27" s="5" t="s">
        <v>520</v>
      </c>
      <c r="C27" s="66" t="s">
        <v>201</v>
      </c>
      <c r="D27" s="63"/>
      <c r="E27" s="5" t="s">
        <v>562</v>
      </c>
      <c r="F27" s="33">
        <v>15.2515</v>
      </c>
      <c r="G27" s="33">
        <v>0</v>
      </c>
      <c r="H27" s="33">
        <f>F27*AO27</f>
        <v>0</v>
      </c>
      <c r="I27" s="33">
        <f>F27*AP27</f>
        <v>0</v>
      </c>
      <c r="J27" s="33">
        <f>F27*G27</f>
        <v>0</v>
      </c>
      <c r="K27" s="6" t="s">
        <v>416</v>
      </c>
      <c r="Z27" s="33">
        <f>IF(AQ27="5",BJ27,0)</f>
        <v>0</v>
      </c>
      <c r="AB27" s="33">
        <f>IF(AQ27="1",BH27,0)</f>
        <v>0</v>
      </c>
      <c r="AC27" s="33">
        <f>IF(AQ27="1",BI27,0)</f>
        <v>0</v>
      </c>
      <c r="AD27" s="33">
        <f>IF(AQ27="7",BH27,0)</f>
        <v>0</v>
      </c>
      <c r="AE27" s="33">
        <f>IF(AQ27="7",BI27,0)</f>
        <v>0</v>
      </c>
      <c r="AF27" s="33">
        <f>IF(AQ27="2",BH27,0)</f>
        <v>0</v>
      </c>
      <c r="AG27" s="33">
        <f>IF(AQ27="2",BI27,0)</f>
        <v>0</v>
      </c>
      <c r="AH27" s="33">
        <f>IF(AQ27="0",BJ27,0)</f>
        <v>0</v>
      </c>
      <c r="AI27" s="21" t="s">
        <v>421</v>
      </c>
      <c r="AJ27" s="33">
        <f>IF(AN27=0,J27,0)</f>
        <v>0</v>
      </c>
      <c r="AK27" s="33">
        <f>IF(AN27=15,J27,0)</f>
        <v>0</v>
      </c>
      <c r="AL27" s="33">
        <f>IF(AN27=21,J27,0)</f>
        <v>0</v>
      </c>
      <c r="AN27" s="33">
        <v>21</v>
      </c>
      <c r="AO27" s="33">
        <f>G27*0</f>
        <v>0</v>
      </c>
      <c r="AP27" s="33">
        <f>G27*(1-0)</f>
        <v>0</v>
      </c>
      <c r="AQ27" s="51" t="s">
        <v>578</v>
      </c>
      <c r="AV27" s="33">
        <f>AW27+AX27</f>
        <v>0</v>
      </c>
      <c r="AW27" s="33">
        <f>F27*AO27</f>
        <v>0</v>
      </c>
      <c r="AX27" s="33">
        <f>F27*AP27</f>
        <v>0</v>
      </c>
      <c r="AY27" s="51" t="s">
        <v>532</v>
      </c>
      <c r="AZ27" s="51" t="s">
        <v>65</v>
      </c>
      <c r="BA27" s="21" t="s">
        <v>457</v>
      </c>
      <c r="BC27" s="33">
        <f>AW27+AX27</f>
        <v>0</v>
      </c>
      <c r="BD27" s="33">
        <f>G27/(100-BE27)*100</f>
        <v>0</v>
      </c>
      <c r="BE27" s="33">
        <v>0</v>
      </c>
      <c r="BF27" s="33">
        <f>27</f>
        <v>27</v>
      </c>
      <c r="BH27" s="33">
        <f>F27*AO27</f>
        <v>0</v>
      </c>
      <c r="BI27" s="33">
        <f>F27*AP27</f>
        <v>0</v>
      </c>
      <c r="BJ27" s="33">
        <f>F27*G27</f>
        <v>0</v>
      </c>
      <c r="BK27" s="33"/>
      <c r="BL27" s="33">
        <v>13</v>
      </c>
      <c r="BW27" s="33">
        <v>21</v>
      </c>
    </row>
    <row r="28" spans="1:75" ht="15" customHeight="1">
      <c r="A28" s="45"/>
      <c r="C28" s="13" t="s">
        <v>159</v>
      </c>
      <c r="D28" s="13" t="s">
        <v>421</v>
      </c>
      <c r="F28" s="49">
        <v>15.251500000000002</v>
      </c>
      <c r="K28" s="7"/>
    </row>
    <row r="29" spans="1:75" ht="13.5" customHeight="1">
      <c r="A29" s="2" t="s">
        <v>469</v>
      </c>
      <c r="B29" s="5" t="s">
        <v>504</v>
      </c>
      <c r="C29" s="66" t="s">
        <v>659</v>
      </c>
      <c r="D29" s="63"/>
      <c r="E29" s="5" t="s">
        <v>562</v>
      </c>
      <c r="F29" s="33">
        <v>1.8860399999999999</v>
      </c>
      <c r="G29" s="33">
        <v>0</v>
      </c>
      <c r="H29" s="33">
        <f>F29*AO29</f>
        <v>0</v>
      </c>
      <c r="I29" s="33">
        <f>F29*AP29</f>
        <v>0</v>
      </c>
      <c r="J29" s="33">
        <f>F29*G29</f>
        <v>0</v>
      </c>
      <c r="K29" s="6" t="s">
        <v>416</v>
      </c>
      <c r="Z29" s="33">
        <f>IF(AQ29="5",BJ29,0)</f>
        <v>0</v>
      </c>
      <c r="AB29" s="33">
        <f>IF(AQ29="1",BH29,0)</f>
        <v>0</v>
      </c>
      <c r="AC29" s="33">
        <f>IF(AQ29="1",BI29,0)</f>
        <v>0</v>
      </c>
      <c r="AD29" s="33">
        <f>IF(AQ29="7",BH29,0)</f>
        <v>0</v>
      </c>
      <c r="AE29" s="33">
        <f>IF(AQ29="7",BI29,0)</f>
        <v>0</v>
      </c>
      <c r="AF29" s="33">
        <f>IF(AQ29="2",BH29,0)</f>
        <v>0</v>
      </c>
      <c r="AG29" s="33">
        <f>IF(AQ29="2",BI29,0)</f>
        <v>0</v>
      </c>
      <c r="AH29" s="33">
        <f>IF(AQ29="0",BJ29,0)</f>
        <v>0</v>
      </c>
      <c r="AI29" s="21" t="s">
        <v>421</v>
      </c>
      <c r="AJ29" s="33">
        <f>IF(AN29=0,J29,0)</f>
        <v>0</v>
      </c>
      <c r="AK29" s="33">
        <f>IF(AN29=15,J29,0)</f>
        <v>0</v>
      </c>
      <c r="AL29" s="33">
        <f>IF(AN29=21,J29,0)</f>
        <v>0</v>
      </c>
      <c r="AN29" s="33">
        <v>21</v>
      </c>
      <c r="AO29" s="33">
        <f>G29*0</f>
        <v>0</v>
      </c>
      <c r="AP29" s="33">
        <f>G29*(1-0)</f>
        <v>0</v>
      </c>
      <c r="AQ29" s="51" t="s">
        <v>578</v>
      </c>
      <c r="AV29" s="33">
        <f>AW29+AX29</f>
        <v>0</v>
      </c>
      <c r="AW29" s="33">
        <f>F29*AO29</f>
        <v>0</v>
      </c>
      <c r="AX29" s="33">
        <f>F29*AP29</f>
        <v>0</v>
      </c>
      <c r="AY29" s="51" t="s">
        <v>532</v>
      </c>
      <c r="AZ29" s="51" t="s">
        <v>65</v>
      </c>
      <c r="BA29" s="21" t="s">
        <v>457</v>
      </c>
      <c r="BC29" s="33">
        <f>AW29+AX29</f>
        <v>0</v>
      </c>
      <c r="BD29" s="33">
        <f>G29/(100-BE29)*100</f>
        <v>0</v>
      </c>
      <c r="BE29" s="33">
        <v>0</v>
      </c>
      <c r="BF29" s="33">
        <f>29</f>
        <v>29</v>
      </c>
      <c r="BH29" s="33">
        <f>F29*AO29</f>
        <v>0</v>
      </c>
      <c r="BI29" s="33">
        <f>F29*AP29</f>
        <v>0</v>
      </c>
      <c r="BJ29" s="33">
        <f>F29*G29</f>
        <v>0</v>
      </c>
      <c r="BK29" s="33"/>
      <c r="BL29" s="33">
        <v>13</v>
      </c>
      <c r="BW29" s="33">
        <v>21</v>
      </c>
    </row>
    <row r="30" spans="1:75" ht="15" customHeight="1">
      <c r="A30" s="45"/>
      <c r="C30" s="13" t="s">
        <v>238</v>
      </c>
      <c r="D30" s="13" t="s">
        <v>421</v>
      </c>
      <c r="F30" s="49">
        <v>1.8860400000000002</v>
      </c>
      <c r="K30" s="7"/>
    </row>
    <row r="31" spans="1:75" ht="13.5" customHeight="1">
      <c r="A31" s="2" t="s">
        <v>233</v>
      </c>
      <c r="B31" s="5" t="s">
        <v>172</v>
      </c>
      <c r="C31" s="66" t="s">
        <v>445</v>
      </c>
      <c r="D31" s="63"/>
      <c r="E31" s="5" t="s">
        <v>562</v>
      </c>
      <c r="F31" s="33">
        <v>201.173</v>
      </c>
      <c r="G31" s="33">
        <v>0</v>
      </c>
      <c r="H31" s="33">
        <f>F31*AO31</f>
        <v>0</v>
      </c>
      <c r="I31" s="33">
        <f>F31*AP31</f>
        <v>0</v>
      </c>
      <c r="J31" s="33">
        <f>F31*G31</f>
        <v>0</v>
      </c>
      <c r="K31" s="6" t="s">
        <v>416</v>
      </c>
      <c r="Z31" s="33">
        <f>IF(AQ31="5",BJ31,0)</f>
        <v>0</v>
      </c>
      <c r="AB31" s="33">
        <f>IF(AQ31="1",BH31,0)</f>
        <v>0</v>
      </c>
      <c r="AC31" s="33">
        <f>IF(AQ31="1",BI31,0)</f>
        <v>0</v>
      </c>
      <c r="AD31" s="33">
        <f>IF(AQ31="7",BH31,0)</f>
        <v>0</v>
      </c>
      <c r="AE31" s="33">
        <f>IF(AQ31="7",BI31,0)</f>
        <v>0</v>
      </c>
      <c r="AF31" s="33">
        <f>IF(AQ31="2",BH31,0)</f>
        <v>0</v>
      </c>
      <c r="AG31" s="33">
        <f>IF(AQ31="2",BI31,0)</f>
        <v>0</v>
      </c>
      <c r="AH31" s="33">
        <f>IF(AQ31="0",BJ31,0)</f>
        <v>0</v>
      </c>
      <c r="AI31" s="21" t="s">
        <v>421</v>
      </c>
      <c r="AJ31" s="33">
        <f>IF(AN31=0,J31,0)</f>
        <v>0</v>
      </c>
      <c r="AK31" s="33">
        <f>IF(AN31=15,J31,0)</f>
        <v>0</v>
      </c>
      <c r="AL31" s="33">
        <f>IF(AN31=21,J31,0)</f>
        <v>0</v>
      </c>
      <c r="AN31" s="33">
        <v>21</v>
      </c>
      <c r="AO31" s="33">
        <f>G31*0.0438492057725724</f>
        <v>0</v>
      </c>
      <c r="AP31" s="33">
        <f>G31*(1-0.0438492057725724)</f>
        <v>0</v>
      </c>
      <c r="AQ31" s="51" t="s">
        <v>578</v>
      </c>
      <c r="AV31" s="33">
        <f>AW31+AX31</f>
        <v>0</v>
      </c>
      <c r="AW31" s="33">
        <f>F31*AO31</f>
        <v>0</v>
      </c>
      <c r="AX31" s="33">
        <f>F31*AP31</f>
        <v>0</v>
      </c>
      <c r="AY31" s="51" t="s">
        <v>532</v>
      </c>
      <c r="AZ31" s="51" t="s">
        <v>65</v>
      </c>
      <c r="BA31" s="21" t="s">
        <v>457</v>
      </c>
      <c r="BC31" s="33">
        <f>AW31+AX31</f>
        <v>0</v>
      </c>
      <c r="BD31" s="33">
        <f>G31/(100-BE31)*100</f>
        <v>0</v>
      </c>
      <c r="BE31" s="33">
        <v>0</v>
      </c>
      <c r="BF31" s="33">
        <f>31</f>
        <v>31</v>
      </c>
      <c r="BH31" s="33">
        <f>F31*AO31</f>
        <v>0</v>
      </c>
      <c r="BI31" s="33">
        <f>F31*AP31</f>
        <v>0</v>
      </c>
      <c r="BJ31" s="33">
        <f>F31*G31</f>
        <v>0</v>
      </c>
      <c r="BK31" s="33"/>
      <c r="BL31" s="33">
        <v>13</v>
      </c>
      <c r="BW31" s="33">
        <v>21</v>
      </c>
    </row>
    <row r="32" spans="1:75" ht="15" customHeight="1">
      <c r="A32" s="45"/>
      <c r="C32" s="13" t="s">
        <v>162</v>
      </c>
      <c r="D32" s="13" t="s">
        <v>421</v>
      </c>
      <c r="F32" s="49">
        <v>201.17300000000003</v>
      </c>
      <c r="K32" s="7"/>
    </row>
    <row r="33" spans="1:75" ht="13.5" customHeight="1">
      <c r="A33" s="2" t="s">
        <v>347</v>
      </c>
      <c r="B33" s="5" t="s">
        <v>230</v>
      </c>
      <c r="C33" s="66" t="s">
        <v>270</v>
      </c>
      <c r="D33" s="63"/>
      <c r="E33" s="5" t="s">
        <v>562</v>
      </c>
      <c r="F33" s="33">
        <v>40.2346</v>
      </c>
      <c r="G33" s="33">
        <v>0</v>
      </c>
      <c r="H33" s="33">
        <f>F33*AO33</f>
        <v>0</v>
      </c>
      <c r="I33" s="33">
        <f>F33*AP33</f>
        <v>0</v>
      </c>
      <c r="J33" s="33">
        <f>F33*G33</f>
        <v>0</v>
      </c>
      <c r="K33" s="6" t="s">
        <v>416</v>
      </c>
      <c r="Z33" s="33">
        <f>IF(AQ33="5",BJ33,0)</f>
        <v>0</v>
      </c>
      <c r="AB33" s="33">
        <f>IF(AQ33="1",BH33,0)</f>
        <v>0</v>
      </c>
      <c r="AC33" s="33">
        <f>IF(AQ33="1",BI33,0)</f>
        <v>0</v>
      </c>
      <c r="AD33" s="33">
        <f>IF(AQ33="7",BH33,0)</f>
        <v>0</v>
      </c>
      <c r="AE33" s="33">
        <f>IF(AQ33="7",BI33,0)</f>
        <v>0</v>
      </c>
      <c r="AF33" s="33">
        <f>IF(AQ33="2",BH33,0)</f>
        <v>0</v>
      </c>
      <c r="AG33" s="33">
        <f>IF(AQ33="2",BI33,0)</f>
        <v>0</v>
      </c>
      <c r="AH33" s="33">
        <f>IF(AQ33="0",BJ33,0)</f>
        <v>0</v>
      </c>
      <c r="AI33" s="21" t="s">
        <v>421</v>
      </c>
      <c r="AJ33" s="33">
        <f>IF(AN33=0,J33,0)</f>
        <v>0</v>
      </c>
      <c r="AK33" s="33">
        <f>IF(AN33=15,J33,0)</f>
        <v>0</v>
      </c>
      <c r="AL33" s="33">
        <f>IF(AN33=21,J33,0)</f>
        <v>0</v>
      </c>
      <c r="AN33" s="33">
        <v>21</v>
      </c>
      <c r="AO33" s="33">
        <f>G33*0</f>
        <v>0</v>
      </c>
      <c r="AP33" s="33">
        <f>G33*(1-0)</f>
        <v>0</v>
      </c>
      <c r="AQ33" s="51" t="s">
        <v>578</v>
      </c>
      <c r="AV33" s="33">
        <f>AW33+AX33</f>
        <v>0</v>
      </c>
      <c r="AW33" s="33">
        <f>F33*AO33</f>
        <v>0</v>
      </c>
      <c r="AX33" s="33">
        <f>F33*AP33</f>
        <v>0</v>
      </c>
      <c r="AY33" s="51" t="s">
        <v>532</v>
      </c>
      <c r="AZ33" s="51" t="s">
        <v>65</v>
      </c>
      <c r="BA33" s="21" t="s">
        <v>457</v>
      </c>
      <c r="BC33" s="33">
        <f>AW33+AX33</f>
        <v>0</v>
      </c>
      <c r="BD33" s="33">
        <f>G33/(100-BE33)*100</f>
        <v>0</v>
      </c>
      <c r="BE33" s="33">
        <v>0</v>
      </c>
      <c r="BF33" s="33">
        <f>33</f>
        <v>33</v>
      </c>
      <c r="BH33" s="33">
        <f>F33*AO33</f>
        <v>0</v>
      </c>
      <c r="BI33" s="33">
        <f>F33*AP33</f>
        <v>0</v>
      </c>
      <c r="BJ33" s="33">
        <f>F33*G33</f>
        <v>0</v>
      </c>
      <c r="BK33" s="33"/>
      <c r="BL33" s="33">
        <v>13</v>
      </c>
      <c r="BW33" s="33">
        <v>21</v>
      </c>
    </row>
    <row r="34" spans="1:75" ht="15" customHeight="1">
      <c r="A34" s="45"/>
      <c r="C34" s="13" t="s">
        <v>292</v>
      </c>
      <c r="D34" s="13" t="s">
        <v>421</v>
      </c>
      <c r="F34" s="49">
        <v>40.2346</v>
      </c>
      <c r="K34" s="7"/>
    </row>
    <row r="35" spans="1:75" ht="13.5" customHeight="1">
      <c r="A35" s="2" t="s">
        <v>497</v>
      </c>
      <c r="B35" s="5" t="s">
        <v>193</v>
      </c>
      <c r="C35" s="66" t="s">
        <v>426</v>
      </c>
      <c r="D35" s="63"/>
      <c r="E35" s="5" t="s">
        <v>492</v>
      </c>
      <c r="F35" s="33">
        <v>137.9</v>
      </c>
      <c r="G35" s="33">
        <v>0</v>
      </c>
      <c r="H35" s="33">
        <f>F35*AO35</f>
        <v>0</v>
      </c>
      <c r="I35" s="33">
        <f>F35*AP35</f>
        <v>0</v>
      </c>
      <c r="J35" s="33">
        <f>F35*G35</f>
        <v>0</v>
      </c>
      <c r="K35" s="6" t="s">
        <v>416</v>
      </c>
      <c r="Z35" s="33">
        <f>IF(AQ35="5",BJ35,0)</f>
        <v>0</v>
      </c>
      <c r="AB35" s="33">
        <f>IF(AQ35="1",BH35,0)</f>
        <v>0</v>
      </c>
      <c r="AC35" s="33">
        <f>IF(AQ35="1",BI35,0)</f>
        <v>0</v>
      </c>
      <c r="AD35" s="33">
        <f>IF(AQ35="7",BH35,0)</f>
        <v>0</v>
      </c>
      <c r="AE35" s="33">
        <f>IF(AQ35="7",BI35,0)</f>
        <v>0</v>
      </c>
      <c r="AF35" s="33">
        <f>IF(AQ35="2",BH35,0)</f>
        <v>0</v>
      </c>
      <c r="AG35" s="33">
        <f>IF(AQ35="2",BI35,0)</f>
        <v>0</v>
      </c>
      <c r="AH35" s="33">
        <f>IF(AQ35="0",BJ35,0)</f>
        <v>0</v>
      </c>
      <c r="AI35" s="21" t="s">
        <v>421</v>
      </c>
      <c r="AJ35" s="33">
        <f>IF(AN35=0,J35,0)</f>
        <v>0</v>
      </c>
      <c r="AK35" s="33">
        <f>IF(AN35=15,J35,0)</f>
        <v>0</v>
      </c>
      <c r="AL35" s="33">
        <f>IF(AN35=21,J35,0)</f>
        <v>0</v>
      </c>
      <c r="AN35" s="33">
        <v>21</v>
      </c>
      <c r="AO35" s="33">
        <f>G35*0</f>
        <v>0</v>
      </c>
      <c r="AP35" s="33">
        <f>G35*(1-0)</f>
        <v>0</v>
      </c>
      <c r="AQ35" s="51" t="s">
        <v>578</v>
      </c>
      <c r="AV35" s="33">
        <f>AW35+AX35</f>
        <v>0</v>
      </c>
      <c r="AW35" s="33">
        <f>F35*AO35</f>
        <v>0</v>
      </c>
      <c r="AX35" s="33">
        <f>F35*AP35</f>
        <v>0</v>
      </c>
      <c r="AY35" s="51" t="s">
        <v>532</v>
      </c>
      <c r="AZ35" s="51" t="s">
        <v>65</v>
      </c>
      <c r="BA35" s="21" t="s">
        <v>457</v>
      </c>
      <c r="BC35" s="33">
        <f>AW35+AX35</f>
        <v>0</v>
      </c>
      <c r="BD35" s="33">
        <f>G35/(100-BE35)*100</f>
        <v>0</v>
      </c>
      <c r="BE35" s="33">
        <v>0</v>
      </c>
      <c r="BF35" s="33">
        <f>35</f>
        <v>35</v>
      </c>
      <c r="BH35" s="33">
        <f>F35*AO35</f>
        <v>0</v>
      </c>
      <c r="BI35" s="33">
        <f>F35*AP35</f>
        <v>0</v>
      </c>
      <c r="BJ35" s="33">
        <f>F35*G35</f>
        <v>0</v>
      </c>
      <c r="BK35" s="33"/>
      <c r="BL35" s="33">
        <v>13</v>
      </c>
      <c r="BW35" s="33">
        <v>21</v>
      </c>
    </row>
    <row r="36" spans="1:75" ht="15" customHeight="1">
      <c r="A36" s="45"/>
      <c r="C36" s="13" t="s">
        <v>348</v>
      </c>
      <c r="D36" s="13" t="s">
        <v>421</v>
      </c>
      <c r="F36" s="49">
        <v>137.9</v>
      </c>
      <c r="K36" s="7"/>
    </row>
    <row r="37" spans="1:75" ht="15" customHeight="1">
      <c r="A37" s="54" t="s">
        <v>421</v>
      </c>
      <c r="B37" s="22" t="s">
        <v>241</v>
      </c>
      <c r="C37" s="79" t="s">
        <v>509</v>
      </c>
      <c r="D37" s="80"/>
      <c r="E37" s="3" t="s">
        <v>544</v>
      </c>
      <c r="F37" s="3" t="s">
        <v>544</v>
      </c>
      <c r="G37" s="3" t="s">
        <v>544</v>
      </c>
      <c r="H37" s="35">
        <f>SUM(H38:H50)</f>
        <v>0</v>
      </c>
      <c r="I37" s="35">
        <f>SUM(I38:I50)</f>
        <v>0</v>
      </c>
      <c r="J37" s="35">
        <f>SUM(J38:J50)</f>
        <v>0</v>
      </c>
      <c r="K37" s="16" t="s">
        <v>421</v>
      </c>
      <c r="AI37" s="21" t="s">
        <v>421</v>
      </c>
      <c r="AS37" s="35">
        <f>SUM(AJ38:AJ50)</f>
        <v>0</v>
      </c>
      <c r="AT37" s="35">
        <f>SUM(AK38:AK50)</f>
        <v>0</v>
      </c>
      <c r="AU37" s="35">
        <f>SUM(AL38:AL50)</f>
        <v>0</v>
      </c>
    </row>
    <row r="38" spans="1:75" ht="13.5" customHeight="1">
      <c r="A38" s="2" t="s">
        <v>443</v>
      </c>
      <c r="B38" s="5" t="s">
        <v>546</v>
      </c>
      <c r="C38" s="66" t="s">
        <v>481</v>
      </c>
      <c r="D38" s="63"/>
      <c r="E38" s="5" t="s">
        <v>147</v>
      </c>
      <c r="F38" s="33">
        <v>2</v>
      </c>
      <c r="G38" s="33">
        <v>0</v>
      </c>
      <c r="H38" s="33">
        <f>F38*AO38</f>
        <v>0</v>
      </c>
      <c r="I38" s="33">
        <f>F38*AP38</f>
        <v>0</v>
      </c>
      <c r="J38" s="33">
        <f>F38*G38</f>
        <v>0</v>
      </c>
      <c r="K38" s="6" t="s">
        <v>416</v>
      </c>
      <c r="Z38" s="33">
        <f>IF(AQ38="5",BJ38,0)</f>
        <v>0</v>
      </c>
      <c r="AB38" s="33">
        <f>IF(AQ38="1",BH38,0)</f>
        <v>0</v>
      </c>
      <c r="AC38" s="33">
        <f>IF(AQ38="1",BI38,0)</f>
        <v>0</v>
      </c>
      <c r="AD38" s="33">
        <f>IF(AQ38="7",BH38,0)</f>
        <v>0</v>
      </c>
      <c r="AE38" s="33">
        <f>IF(AQ38="7",BI38,0)</f>
        <v>0</v>
      </c>
      <c r="AF38" s="33">
        <f>IF(AQ38="2",BH38,0)</f>
        <v>0</v>
      </c>
      <c r="AG38" s="33">
        <f>IF(AQ38="2",BI38,0)</f>
        <v>0</v>
      </c>
      <c r="AH38" s="33">
        <f>IF(AQ38="0",BJ38,0)</f>
        <v>0</v>
      </c>
      <c r="AI38" s="21" t="s">
        <v>421</v>
      </c>
      <c r="AJ38" s="33">
        <f>IF(AN38=0,J38,0)</f>
        <v>0</v>
      </c>
      <c r="AK38" s="33">
        <f>IF(AN38=15,J38,0)</f>
        <v>0</v>
      </c>
      <c r="AL38" s="33">
        <f>IF(AN38=21,J38,0)</f>
        <v>0</v>
      </c>
      <c r="AN38" s="33">
        <v>21</v>
      </c>
      <c r="AO38" s="33">
        <f>G38*0</f>
        <v>0</v>
      </c>
      <c r="AP38" s="33">
        <f>G38*(1-0)</f>
        <v>0</v>
      </c>
      <c r="AQ38" s="51" t="s">
        <v>578</v>
      </c>
      <c r="AV38" s="33">
        <f>AW38+AX38</f>
        <v>0</v>
      </c>
      <c r="AW38" s="33">
        <f>F38*AO38</f>
        <v>0</v>
      </c>
      <c r="AX38" s="33">
        <f>F38*AP38</f>
        <v>0</v>
      </c>
      <c r="AY38" s="51" t="s">
        <v>429</v>
      </c>
      <c r="AZ38" s="51" t="s">
        <v>65</v>
      </c>
      <c r="BA38" s="21" t="s">
        <v>457</v>
      </c>
      <c r="BC38" s="33">
        <f>AW38+AX38</f>
        <v>0</v>
      </c>
      <c r="BD38" s="33">
        <f>G38/(100-BE38)*100</f>
        <v>0</v>
      </c>
      <c r="BE38" s="33">
        <v>0</v>
      </c>
      <c r="BF38" s="33">
        <f>38</f>
        <v>38</v>
      </c>
      <c r="BH38" s="33">
        <f>F38*AO38</f>
        <v>0</v>
      </c>
      <c r="BI38" s="33">
        <f>F38*AP38</f>
        <v>0</v>
      </c>
      <c r="BJ38" s="33">
        <f>F38*G38</f>
        <v>0</v>
      </c>
      <c r="BK38" s="33"/>
      <c r="BL38" s="33">
        <v>15</v>
      </c>
      <c r="BW38" s="33">
        <v>21</v>
      </c>
    </row>
    <row r="39" spans="1:75" ht="15" customHeight="1">
      <c r="A39" s="45"/>
      <c r="C39" s="13" t="s">
        <v>419</v>
      </c>
      <c r="D39" s="13" t="s">
        <v>421</v>
      </c>
      <c r="F39" s="49">
        <v>2</v>
      </c>
      <c r="K39" s="7"/>
    </row>
    <row r="40" spans="1:75" ht="13.5" customHeight="1">
      <c r="A40" s="2" t="s">
        <v>174</v>
      </c>
      <c r="B40" s="5" t="s">
        <v>559</v>
      </c>
      <c r="C40" s="66" t="s">
        <v>5</v>
      </c>
      <c r="D40" s="63"/>
      <c r="E40" s="5" t="s">
        <v>147</v>
      </c>
      <c r="F40" s="33">
        <v>2</v>
      </c>
      <c r="G40" s="33">
        <v>0</v>
      </c>
      <c r="H40" s="33">
        <f>F40*AO40</f>
        <v>0</v>
      </c>
      <c r="I40" s="33">
        <f>F40*AP40</f>
        <v>0</v>
      </c>
      <c r="J40" s="33">
        <f>F40*G40</f>
        <v>0</v>
      </c>
      <c r="K40" s="6" t="s">
        <v>416</v>
      </c>
      <c r="Z40" s="33">
        <f>IF(AQ40="5",BJ40,0)</f>
        <v>0</v>
      </c>
      <c r="AB40" s="33">
        <f>IF(AQ40="1",BH40,0)</f>
        <v>0</v>
      </c>
      <c r="AC40" s="33">
        <f>IF(AQ40="1",BI40,0)</f>
        <v>0</v>
      </c>
      <c r="AD40" s="33">
        <f>IF(AQ40="7",BH40,0)</f>
        <v>0</v>
      </c>
      <c r="AE40" s="33">
        <f>IF(AQ40="7",BI40,0)</f>
        <v>0</v>
      </c>
      <c r="AF40" s="33">
        <f>IF(AQ40="2",BH40,0)</f>
        <v>0</v>
      </c>
      <c r="AG40" s="33">
        <f>IF(AQ40="2",BI40,0)</f>
        <v>0</v>
      </c>
      <c r="AH40" s="33">
        <f>IF(AQ40="0",BJ40,0)</f>
        <v>0</v>
      </c>
      <c r="AI40" s="21" t="s">
        <v>421</v>
      </c>
      <c r="AJ40" s="33">
        <f>IF(AN40=0,J40,0)</f>
        <v>0</v>
      </c>
      <c r="AK40" s="33">
        <f>IF(AN40=15,J40,0)</f>
        <v>0</v>
      </c>
      <c r="AL40" s="33">
        <f>IF(AN40=21,J40,0)</f>
        <v>0</v>
      </c>
      <c r="AN40" s="33">
        <v>21</v>
      </c>
      <c r="AO40" s="33">
        <f>G40*0</f>
        <v>0</v>
      </c>
      <c r="AP40" s="33">
        <f>G40*(1-0)</f>
        <v>0</v>
      </c>
      <c r="AQ40" s="51" t="s">
        <v>578</v>
      </c>
      <c r="AV40" s="33">
        <f>AW40+AX40</f>
        <v>0</v>
      </c>
      <c r="AW40" s="33">
        <f>F40*AO40</f>
        <v>0</v>
      </c>
      <c r="AX40" s="33">
        <f>F40*AP40</f>
        <v>0</v>
      </c>
      <c r="AY40" s="51" t="s">
        <v>429</v>
      </c>
      <c r="AZ40" s="51" t="s">
        <v>65</v>
      </c>
      <c r="BA40" s="21" t="s">
        <v>457</v>
      </c>
      <c r="BC40" s="33">
        <f>AW40+AX40</f>
        <v>0</v>
      </c>
      <c r="BD40" s="33">
        <f>G40/(100-BE40)*100</f>
        <v>0</v>
      </c>
      <c r="BE40" s="33">
        <v>0</v>
      </c>
      <c r="BF40" s="33">
        <f>40</f>
        <v>40</v>
      </c>
      <c r="BH40" s="33">
        <f>F40*AO40</f>
        <v>0</v>
      </c>
      <c r="BI40" s="33">
        <f>F40*AP40</f>
        <v>0</v>
      </c>
      <c r="BJ40" s="33">
        <f>F40*G40</f>
        <v>0</v>
      </c>
      <c r="BK40" s="33"/>
      <c r="BL40" s="33">
        <v>15</v>
      </c>
      <c r="BW40" s="33">
        <v>21</v>
      </c>
    </row>
    <row r="41" spans="1:75" ht="15" customHeight="1">
      <c r="A41" s="45"/>
      <c r="C41" s="13" t="s">
        <v>419</v>
      </c>
      <c r="D41" s="13" t="s">
        <v>421</v>
      </c>
      <c r="F41" s="49">
        <v>2</v>
      </c>
      <c r="K41" s="7"/>
    </row>
    <row r="42" spans="1:75" ht="13.5" customHeight="1">
      <c r="A42" s="2" t="s">
        <v>354</v>
      </c>
      <c r="B42" s="5" t="s">
        <v>654</v>
      </c>
      <c r="C42" s="66" t="s">
        <v>328</v>
      </c>
      <c r="D42" s="63"/>
      <c r="E42" s="5" t="s">
        <v>31</v>
      </c>
      <c r="F42" s="33">
        <v>30</v>
      </c>
      <c r="G42" s="33">
        <v>0</v>
      </c>
      <c r="H42" s="33">
        <f>F42*AO42</f>
        <v>0</v>
      </c>
      <c r="I42" s="33">
        <f>F42*AP42</f>
        <v>0</v>
      </c>
      <c r="J42" s="33">
        <f>F42*G42</f>
        <v>0</v>
      </c>
      <c r="K42" s="6" t="s">
        <v>416</v>
      </c>
      <c r="Z42" s="33">
        <f>IF(AQ42="5",BJ42,0)</f>
        <v>0</v>
      </c>
      <c r="AB42" s="33">
        <f>IF(AQ42="1",BH42,0)</f>
        <v>0</v>
      </c>
      <c r="AC42" s="33">
        <f>IF(AQ42="1",BI42,0)</f>
        <v>0</v>
      </c>
      <c r="AD42" s="33">
        <f>IF(AQ42="7",BH42,0)</f>
        <v>0</v>
      </c>
      <c r="AE42" s="33">
        <f>IF(AQ42="7",BI42,0)</f>
        <v>0</v>
      </c>
      <c r="AF42" s="33">
        <f>IF(AQ42="2",BH42,0)</f>
        <v>0</v>
      </c>
      <c r="AG42" s="33">
        <f>IF(AQ42="2",BI42,0)</f>
        <v>0</v>
      </c>
      <c r="AH42" s="33">
        <f>IF(AQ42="0",BJ42,0)</f>
        <v>0</v>
      </c>
      <c r="AI42" s="21" t="s">
        <v>421</v>
      </c>
      <c r="AJ42" s="33">
        <f>IF(AN42=0,J42,0)</f>
        <v>0</v>
      </c>
      <c r="AK42" s="33">
        <f>IF(AN42=15,J42,0)</f>
        <v>0</v>
      </c>
      <c r="AL42" s="33">
        <f>IF(AN42=21,J42,0)</f>
        <v>0</v>
      </c>
      <c r="AN42" s="33">
        <v>21</v>
      </c>
      <c r="AO42" s="33">
        <f>G42*0</f>
        <v>0</v>
      </c>
      <c r="AP42" s="33">
        <f>G42*(1-0)</f>
        <v>0</v>
      </c>
      <c r="AQ42" s="51" t="s">
        <v>578</v>
      </c>
      <c r="AV42" s="33">
        <f>AW42+AX42</f>
        <v>0</v>
      </c>
      <c r="AW42" s="33">
        <f>F42*AO42</f>
        <v>0</v>
      </c>
      <c r="AX42" s="33">
        <f>F42*AP42</f>
        <v>0</v>
      </c>
      <c r="AY42" s="51" t="s">
        <v>429</v>
      </c>
      <c r="AZ42" s="51" t="s">
        <v>65</v>
      </c>
      <c r="BA42" s="21" t="s">
        <v>457</v>
      </c>
      <c r="BC42" s="33">
        <f>AW42+AX42</f>
        <v>0</v>
      </c>
      <c r="BD42" s="33">
        <f>G42/(100-BE42)*100</f>
        <v>0</v>
      </c>
      <c r="BE42" s="33">
        <v>0</v>
      </c>
      <c r="BF42" s="33">
        <f>42</f>
        <v>42</v>
      </c>
      <c r="BH42" s="33">
        <f>F42*AO42</f>
        <v>0</v>
      </c>
      <c r="BI42" s="33">
        <f>F42*AP42</f>
        <v>0</v>
      </c>
      <c r="BJ42" s="33">
        <f>F42*G42</f>
        <v>0</v>
      </c>
      <c r="BK42" s="33"/>
      <c r="BL42" s="33">
        <v>15</v>
      </c>
      <c r="BW42" s="33">
        <v>21</v>
      </c>
    </row>
    <row r="43" spans="1:75" ht="15" customHeight="1">
      <c r="A43" s="45"/>
      <c r="C43" s="13" t="s">
        <v>390</v>
      </c>
      <c r="D43" s="13" t="s">
        <v>421</v>
      </c>
      <c r="F43" s="49">
        <v>30.000000000000004</v>
      </c>
      <c r="K43" s="7"/>
    </row>
    <row r="44" spans="1:75" ht="13.5" customHeight="1">
      <c r="A44" s="2" t="s">
        <v>241</v>
      </c>
      <c r="B44" s="5" t="s">
        <v>646</v>
      </c>
      <c r="C44" s="66" t="s">
        <v>138</v>
      </c>
      <c r="D44" s="63"/>
      <c r="E44" s="5" t="s">
        <v>571</v>
      </c>
      <c r="F44" s="33">
        <v>396.54599999999999</v>
      </c>
      <c r="G44" s="33">
        <v>0</v>
      </c>
      <c r="H44" s="33">
        <f>F44*AO44</f>
        <v>0</v>
      </c>
      <c r="I44" s="33">
        <f>F44*AP44</f>
        <v>0</v>
      </c>
      <c r="J44" s="33">
        <f>F44*G44</f>
        <v>0</v>
      </c>
      <c r="K44" s="6" t="s">
        <v>416</v>
      </c>
      <c r="Z44" s="33">
        <f>IF(AQ44="5",BJ44,0)</f>
        <v>0</v>
      </c>
      <c r="AB44" s="33">
        <f>IF(AQ44="1",BH44,0)</f>
        <v>0</v>
      </c>
      <c r="AC44" s="33">
        <f>IF(AQ44="1",BI44,0)</f>
        <v>0</v>
      </c>
      <c r="AD44" s="33">
        <f>IF(AQ44="7",BH44,0)</f>
        <v>0</v>
      </c>
      <c r="AE44" s="33">
        <f>IF(AQ44="7",BI44,0)</f>
        <v>0</v>
      </c>
      <c r="AF44" s="33">
        <f>IF(AQ44="2",BH44,0)</f>
        <v>0</v>
      </c>
      <c r="AG44" s="33">
        <f>IF(AQ44="2",BI44,0)</f>
        <v>0</v>
      </c>
      <c r="AH44" s="33">
        <f>IF(AQ44="0",BJ44,0)</f>
        <v>0</v>
      </c>
      <c r="AI44" s="21" t="s">
        <v>421</v>
      </c>
      <c r="AJ44" s="33">
        <f>IF(AN44=0,J44,0)</f>
        <v>0</v>
      </c>
      <c r="AK44" s="33">
        <f>IF(AN44=15,J44,0)</f>
        <v>0</v>
      </c>
      <c r="AL44" s="33">
        <f>IF(AN44=21,J44,0)</f>
        <v>0</v>
      </c>
      <c r="AN44" s="33">
        <v>21</v>
      </c>
      <c r="AO44" s="33">
        <f>G44*0.0932214828210377</f>
        <v>0</v>
      </c>
      <c r="AP44" s="33">
        <f>G44*(1-0.0932214828210377)</f>
        <v>0</v>
      </c>
      <c r="AQ44" s="51" t="s">
        <v>578</v>
      </c>
      <c r="AV44" s="33">
        <f>AW44+AX44</f>
        <v>0</v>
      </c>
      <c r="AW44" s="33">
        <f>F44*AO44</f>
        <v>0</v>
      </c>
      <c r="AX44" s="33">
        <f>F44*AP44</f>
        <v>0</v>
      </c>
      <c r="AY44" s="51" t="s">
        <v>429</v>
      </c>
      <c r="AZ44" s="51" t="s">
        <v>65</v>
      </c>
      <c r="BA44" s="21" t="s">
        <v>457</v>
      </c>
      <c r="BC44" s="33">
        <f>AW44+AX44</f>
        <v>0</v>
      </c>
      <c r="BD44" s="33">
        <f>G44/(100-BE44)*100</f>
        <v>0</v>
      </c>
      <c r="BE44" s="33">
        <v>0</v>
      </c>
      <c r="BF44" s="33">
        <f>44</f>
        <v>44</v>
      </c>
      <c r="BH44" s="33">
        <f>F44*AO44</f>
        <v>0</v>
      </c>
      <c r="BI44" s="33">
        <f>F44*AP44</f>
        <v>0</v>
      </c>
      <c r="BJ44" s="33">
        <f>F44*G44</f>
        <v>0</v>
      </c>
      <c r="BK44" s="33"/>
      <c r="BL44" s="33">
        <v>15</v>
      </c>
      <c r="BW44" s="33">
        <v>21</v>
      </c>
    </row>
    <row r="45" spans="1:75" ht="15" customHeight="1">
      <c r="A45" s="45"/>
      <c r="C45" s="13" t="s">
        <v>199</v>
      </c>
      <c r="D45" s="13" t="s">
        <v>421</v>
      </c>
      <c r="F45" s="49">
        <v>396.54600000000005</v>
      </c>
      <c r="K45" s="7"/>
    </row>
    <row r="46" spans="1:75" ht="13.5" customHeight="1">
      <c r="A46" s="2" t="s">
        <v>53</v>
      </c>
      <c r="B46" s="5" t="s">
        <v>412</v>
      </c>
      <c r="C46" s="66" t="s">
        <v>563</v>
      </c>
      <c r="D46" s="63"/>
      <c r="E46" s="5" t="s">
        <v>571</v>
      </c>
      <c r="F46" s="33">
        <v>396.54599999999999</v>
      </c>
      <c r="G46" s="33">
        <v>0</v>
      </c>
      <c r="H46" s="33">
        <f>F46*AO46</f>
        <v>0</v>
      </c>
      <c r="I46" s="33">
        <f>F46*AP46</f>
        <v>0</v>
      </c>
      <c r="J46" s="33">
        <f>F46*G46</f>
        <v>0</v>
      </c>
      <c r="K46" s="6" t="s">
        <v>416</v>
      </c>
      <c r="Z46" s="33">
        <f>IF(AQ46="5",BJ46,0)</f>
        <v>0</v>
      </c>
      <c r="AB46" s="33">
        <f>IF(AQ46="1",BH46,0)</f>
        <v>0</v>
      </c>
      <c r="AC46" s="33">
        <f>IF(AQ46="1",BI46,0)</f>
        <v>0</v>
      </c>
      <c r="AD46" s="33">
        <f>IF(AQ46="7",BH46,0)</f>
        <v>0</v>
      </c>
      <c r="AE46" s="33">
        <f>IF(AQ46="7",BI46,0)</f>
        <v>0</v>
      </c>
      <c r="AF46" s="33">
        <f>IF(AQ46="2",BH46,0)</f>
        <v>0</v>
      </c>
      <c r="AG46" s="33">
        <f>IF(AQ46="2",BI46,0)</f>
        <v>0</v>
      </c>
      <c r="AH46" s="33">
        <f>IF(AQ46="0",BJ46,0)</f>
        <v>0</v>
      </c>
      <c r="AI46" s="21" t="s">
        <v>421</v>
      </c>
      <c r="AJ46" s="33">
        <f>IF(AN46=0,J46,0)</f>
        <v>0</v>
      </c>
      <c r="AK46" s="33">
        <f>IF(AN46=15,J46,0)</f>
        <v>0</v>
      </c>
      <c r="AL46" s="33">
        <f>IF(AN46=21,J46,0)</f>
        <v>0</v>
      </c>
      <c r="AN46" s="33">
        <v>21</v>
      </c>
      <c r="AO46" s="33">
        <f>G46*0</f>
        <v>0</v>
      </c>
      <c r="AP46" s="33">
        <f>G46*(1-0)</f>
        <v>0</v>
      </c>
      <c r="AQ46" s="51" t="s">
        <v>578</v>
      </c>
      <c r="AV46" s="33">
        <f>AW46+AX46</f>
        <v>0</v>
      </c>
      <c r="AW46" s="33">
        <f>F46*AO46</f>
        <v>0</v>
      </c>
      <c r="AX46" s="33">
        <f>F46*AP46</f>
        <v>0</v>
      </c>
      <c r="AY46" s="51" t="s">
        <v>429</v>
      </c>
      <c r="AZ46" s="51" t="s">
        <v>65</v>
      </c>
      <c r="BA46" s="21" t="s">
        <v>457</v>
      </c>
      <c r="BC46" s="33">
        <f>AW46+AX46</f>
        <v>0</v>
      </c>
      <c r="BD46" s="33">
        <f>G46/(100-BE46)*100</f>
        <v>0</v>
      </c>
      <c r="BE46" s="33">
        <v>0</v>
      </c>
      <c r="BF46" s="33">
        <f>46</f>
        <v>46</v>
      </c>
      <c r="BH46" s="33">
        <f>F46*AO46</f>
        <v>0</v>
      </c>
      <c r="BI46" s="33">
        <f>F46*AP46</f>
        <v>0</v>
      </c>
      <c r="BJ46" s="33">
        <f>F46*G46</f>
        <v>0</v>
      </c>
      <c r="BK46" s="33"/>
      <c r="BL46" s="33">
        <v>15</v>
      </c>
      <c r="BW46" s="33">
        <v>21</v>
      </c>
    </row>
    <row r="47" spans="1:75" ht="15" customHeight="1">
      <c r="A47" s="45"/>
      <c r="C47" s="13" t="s">
        <v>526</v>
      </c>
      <c r="D47" s="13" t="s">
        <v>421</v>
      </c>
      <c r="F47" s="49">
        <v>396.54600000000005</v>
      </c>
      <c r="K47" s="7"/>
    </row>
    <row r="48" spans="1:75" ht="13.5" customHeight="1">
      <c r="A48" s="2" t="s">
        <v>422</v>
      </c>
      <c r="B48" s="5" t="s">
        <v>73</v>
      </c>
      <c r="C48" s="66" t="s">
        <v>178</v>
      </c>
      <c r="D48" s="63"/>
      <c r="E48" s="5" t="s">
        <v>571</v>
      </c>
      <c r="F48" s="33">
        <v>5.8</v>
      </c>
      <c r="G48" s="33">
        <v>0</v>
      </c>
      <c r="H48" s="33">
        <f>F48*AO48</f>
        <v>0</v>
      </c>
      <c r="I48" s="33">
        <f>F48*AP48</f>
        <v>0</v>
      </c>
      <c r="J48" s="33">
        <f>F48*G48</f>
        <v>0</v>
      </c>
      <c r="K48" s="6" t="s">
        <v>416</v>
      </c>
      <c r="Z48" s="33">
        <f>IF(AQ48="5",BJ48,0)</f>
        <v>0</v>
      </c>
      <c r="AB48" s="33">
        <f>IF(AQ48="1",BH48,0)</f>
        <v>0</v>
      </c>
      <c r="AC48" s="33">
        <f>IF(AQ48="1",BI48,0)</f>
        <v>0</v>
      </c>
      <c r="AD48" s="33">
        <f>IF(AQ48="7",BH48,0)</f>
        <v>0</v>
      </c>
      <c r="AE48" s="33">
        <f>IF(AQ48="7",BI48,0)</f>
        <v>0</v>
      </c>
      <c r="AF48" s="33">
        <f>IF(AQ48="2",BH48,0)</f>
        <v>0</v>
      </c>
      <c r="AG48" s="33">
        <f>IF(AQ48="2",BI48,0)</f>
        <v>0</v>
      </c>
      <c r="AH48" s="33">
        <f>IF(AQ48="0",BJ48,0)</f>
        <v>0</v>
      </c>
      <c r="AI48" s="21" t="s">
        <v>421</v>
      </c>
      <c r="AJ48" s="33">
        <f>IF(AN48=0,J48,0)</f>
        <v>0</v>
      </c>
      <c r="AK48" s="33">
        <f>IF(AN48=15,J48,0)</f>
        <v>0</v>
      </c>
      <c r="AL48" s="33">
        <f>IF(AN48=21,J48,0)</f>
        <v>0</v>
      </c>
      <c r="AN48" s="33">
        <v>21</v>
      </c>
      <c r="AO48" s="33">
        <f>G48*0.0997231833910035</f>
        <v>0</v>
      </c>
      <c r="AP48" s="33">
        <f>G48*(1-0.0997231833910035)</f>
        <v>0</v>
      </c>
      <c r="AQ48" s="51" t="s">
        <v>578</v>
      </c>
      <c r="AV48" s="33">
        <f>AW48+AX48</f>
        <v>0</v>
      </c>
      <c r="AW48" s="33">
        <f>F48*AO48</f>
        <v>0</v>
      </c>
      <c r="AX48" s="33">
        <f>F48*AP48</f>
        <v>0</v>
      </c>
      <c r="AY48" s="51" t="s">
        <v>429</v>
      </c>
      <c r="AZ48" s="51" t="s">
        <v>65</v>
      </c>
      <c r="BA48" s="21" t="s">
        <v>457</v>
      </c>
      <c r="BC48" s="33">
        <f>AW48+AX48</f>
        <v>0</v>
      </c>
      <c r="BD48" s="33">
        <f>G48/(100-BE48)*100</f>
        <v>0</v>
      </c>
      <c r="BE48" s="33">
        <v>0</v>
      </c>
      <c r="BF48" s="33">
        <f>48</f>
        <v>48</v>
      </c>
      <c r="BH48" s="33">
        <f>F48*AO48</f>
        <v>0</v>
      </c>
      <c r="BI48" s="33">
        <f>F48*AP48</f>
        <v>0</v>
      </c>
      <c r="BJ48" s="33">
        <f>F48*G48</f>
        <v>0</v>
      </c>
      <c r="BK48" s="33"/>
      <c r="BL48" s="33">
        <v>15</v>
      </c>
      <c r="BW48" s="33">
        <v>21</v>
      </c>
    </row>
    <row r="49" spans="1:75" ht="15" customHeight="1">
      <c r="A49" s="45"/>
      <c r="C49" s="13" t="s">
        <v>134</v>
      </c>
      <c r="D49" s="13" t="s">
        <v>421</v>
      </c>
      <c r="F49" s="49">
        <v>5.8000000000000007</v>
      </c>
      <c r="K49" s="7"/>
    </row>
    <row r="50" spans="1:75" ht="13.5" customHeight="1">
      <c r="A50" s="2" t="s">
        <v>474</v>
      </c>
      <c r="B50" s="5" t="s">
        <v>231</v>
      </c>
      <c r="C50" s="66" t="s">
        <v>234</v>
      </c>
      <c r="D50" s="63"/>
      <c r="E50" s="5" t="s">
        <v>571</v>
      </c>
      <c r="F50" s="33">
        <v>5.8</v>
      </c>
      <c r="G50" s="33">
        <v>0</v>
      </c>
      <c r="H50" s="33">
        <f>F50*AO50</f>
        <v>0</v>
      </c>
      <c r="I50" s="33">
        <f>F50*AP50</f>
        <v>0</v>
      </c>
      <c r="J50" s="33">
        <f>F50*G50</f>
        <v>0</v>
      </c>
      <c r="K50" s="6" t="s">
        <v>416</v>
      </c>
      <c r="Z50" s="33">
        <f>IF(AQ50="5",BJ50,0)</f>
        <v>0</v>
      </c>
      <c r="AB50" s="33">
        <f>IF(AQ50="1",BH50,0)</f>
        <v>0</v>
      </c>
      <c r="AC50" s="33">
        <f>IF(AQ50="1",BI50,0)</f>
        <v>0</v>
      </c>
      <c r="AD50" s="33">
        <f>IF(AQ50="7",BH50,0)</f>
        <v>0</v>
      </c>
      <c r="AE50" s="33">
        <f>IF(AQ50="7",BI50,0)</f>
        <v>0</v>
      </c>
      <c r="AF50" s="33">
        <f>IF(AQ50="2",BH50,0)</f>
        <v>0</v>
      </c>
      <c r="AG50" s="33">
        <f>IF(AQ50="2",BI50,0)</f>
        <v>0</v>
      </c>
      <c r="AH50" s="33">
        <f>IF(AQ50="0",BJ50,0)</f>
        <v>0</v>
      </c>
      <c r="AI50" s="21" t="s">
        <v>421</v>
      </c>
      <c r="AJ50" s="33">
        <f>IF(AN50=0,J50,0)</f>
        <v>0</v>
      </c>
      <c r="AK50" s="33">
        <f>IF(AN50=15,J50,0)</f>
        <v>0</v>
      </c>
      <c r="AL50" s="33">
        <f>IF(AN50=21,J50,0)</f>
        <v>0</v>
      </c>
      <c r="AN50" s="33">
        <v>21</v>
      </c>
      <c r="AO50" s="33">
        <f>G50*0</f>
        <v>0</v>
      </c>
      <c r="AP50" s="33">
        <f>G50*(1-0)</f>
        <v>0</v>
      </c>
      <c r="AQ50" s="51" t="s">
        <v>578</v>
      </c>
      <c r="AV50" s="33">
        <f>AW50+AX50</f>
        <v>0</v>
      </c>
      <c r="AW50" s="33">
        <f>F50*AO50</f>
        <v>0</v>
      </c>
      <c r="AX50" s="33">
        <f>F50*AP50</f>
        <v>0</v>
      </c>
      <c r="AY50" s="51" t="s">
        <v>429</v>
      </c>
      <c r="AZ50" s="51" t="s">
        <v>65</v>
      </c>
      <c r="BA50" s="21" t="s">
        <v>457</v>
      </c>
      <c r="BC50" s="33">
        <f>AW50+AX50</f>
        <v>0</v>
      </c>
      <c r="BD50" s="33">
        <f>G50/(100-BE50)*100</f>
        <v>0</v>
      </c>
      <c r="BE50" s="33">
        <v>0</v>
      </c>
      <c r="BF50" s="33">
        <f>50</f>
        <v>50</v>
      </c>
      <c r="BH50" s="33">
        <f>F50*AO50</f>
        <v>0</v>
      </c>
      <c r="BI50" s="33">
        <f>F50*AP50</f>
        <v>0</v>
      </c>
      <c r="BJ50" s="33">
        <f>F50*G50</f>
        <v>0</v>
      </c>
      <c r="BK50" s="33"/>
      <c r="BL50" s="33">
        <v>15</v>
      </c>
      <c r="BW50" s="33">
        <v>21</v>
      </c>
    </row>
    <row r="51" spans="1:75" ht="15" customHeight="1">
      <c r="A51" s="45"/>
      <c r="C51" s="13" t="s">
        <v>493</v>
      </c>
      <c r="D51" s="13" t="s">
        <v>421</v>
      </c>
      <c r="F51" s="49">
        <v>5.8000000000000007</v>
      </c>
      <c r="K51" s="7"/>
    </row>
    <row r="52" spans="1:75" ht="15" customHeight="1">
      <c r="A52" s="54" t="s">
        <v>421</v>
      </c>
      <c r="B52" s="22" t="s">
        <v>53</v>
      </c>
      <c r="C52" s="79" t="s">
        <v>495</v>
      </c>
      <c r="D52" s="80"/>
      <c r="E52" s="3" t="s">
        <v>544</v>
      </c>
      <c r="F52" s="3" t="s">
        <v>544</v>
      </c>
      <c r="G52" s="3" t="s">
        <v>544</v>
      </c>
      <c r="H52" s="35">
        <f>SUM(H53:H75)</f>
        <v>0</v>
      </c>
      <c r="I52" s="35">
        <f>SUM(I53:I75)</f>
        <v>0</v>
      </c>
      <c r="J52" s="35">
        <f>SUM(J53:J75)</f>
        <v>0</v>
      </c>
      <c r="K52" s="16" t="s">
        <v>421</v>
      </c>
      <c r="AI52" s="21" t="s">
        <v>421</v>
      </c>
      <c r="AS52" s="35">
        <f>SUM(AJ53:AJ75)</f>
        <v>0</v>
      </c>
      <c r="AT52" s="35">
        <f>SUM(AK53:AK75)</f>
        <v>0</v>
      </c>
      <c r="AU52" s="35">
        <f>SUM(AL53:AL75)</f>
        <v>0</v>
      </c>
    </row>
    <row r="53" spans="1:75" ht="13.5" customHeight="1">
      <c r="A53" s="2" t="s">
        <v>384</v>
      </c>
      <c r="B53" s="5" t="s">
        <v>235</v>
      </c>
      <c r="C53" s="66" t="s">
        <v>304</v>
      </c>
      <c r="D53" s="63"/>
      <c r="E53" s="5" t="s">
        <v>562</v>
      </c>
      <c r="F53" s="33">
        <v>78.143540000000002</v>
      </c>
      <c r="G53" s="33">
        <v>0</v>
      </c>
      <c r="H53" s="33">
        <f>F53*AO53</f>
        <v>0</v>
      </c>
      <c r="I53" s="33">
        <f>F53*AP53</f>
        <v>0</v>
      </c>
      <c r="J53" s="33">
        <f>F53*G53</f>
        <v>0</v>
      </c>
      <c r="K53" s="6" t="s">
        <v>416</v>
      </c>
      <c r="Z53" s="33">
        <f>IF(AQ53="5",BJ53,0)</f>
        <v>0</v>
      </c>
      <c r="AB53" s="33">
        <f>IF(AQ53="1",BH53,0)</f>
        <v>0</v>
      </c>
      <c r="AC53" s="33">
        <f>IF(AQ53="1",BI53,0)</f>
        <v>0</v>
      </c>
      <c r="AD53" s="33">
        <f>IF(AQ53="7",BH53,0)</f>
        <v>0</v>
      </c>
      <c r="AE53" s="33">
        <f>IF(AQ53="7",BI53,0)</f>
        <v>0</v>
      </c>
      <c r="AF53" s="33">
        <f>IF(AQ53="2",BH53,0)</f>
        <v>0</v>
      </c>
      <c r="AG53" s="33">
        <f>IF(AQ53="2",BI53,0)</f>
        <v>0</v>
      </c>
      <c r="AH53" s="33">
        <f>IF(AQ53="0",BJ53,0)</f>
        <v>0</v>
      </c>
      <c r="AI53" s="21" t="s">
        <v>421</v>
      </c>
      <c r="AJ53" s="33">
        <f>IF(AN53=0,J53,0)</f>
        <v>0</v>
      </c>
      <c r="AK53" s="33">
        <f>IF(AN53=15,J53,0)</f>
        <v>0</v>
      </c>
      <c r="AL53" s="33">
        <f>IF(AN53=21,J53,0)</f>
        <v>0</v>
      </c>
      <c r="AN53" s="33">
        <v>21</v>
      </c>
      <c r="AO53" s="33">
        <f>G53*0</f>
        <v>0</v>
      </c>
      <c r="AP53" s="33">
        <f>G53*(1-0)</f>
        <v>0</v>
      </c>
      <c r="AQ53" s="51" t="s">
        <v>578</v>
      </c>
      <c r="AV53" s="33">
        <f>AW53+AX53</f>
        <v>0</v>
      </c>
      <c r="AW53" s="33">
        <f>F53*AO53</f>
        <v>0</v>
      </c>
      <c r="AX53" s="33">
        <f>F53*AP53</f>
        <v>0</v>
      </c>
      <c r="AY53" s="51" t="s">
        <v>545</v>
      </c>
      <c r="AZ53" s="51" t="s">
        <v>65</v>
      </c>
      <c r="BA53" s="21" t="s">
        <v>457</v>
      </c>
      <c r="BC53" s="33">
        <f>AW53+AX53</f>
        <v>0</v>
      </c>
      <c r="BD53" s="33">
        <f>G53/(100-BE53)*100</f>
        <v>0</v>
      </c>
      <c r="BE53" s="33">
        <v>0</v>
      </c>
      <c r="BF53" s="33">
        <f>53</f>
        <v>53</v>
      </c>
      <c r="BH53" s="33">
        <f>F53*AO53</f>
        <v>0</v>
      </c>
      <c r="BI53" s="33">
        <f>F53*AP53</f>
        <v>0</v>
      </c>
      <c r="BJ53" s="33">
        <f>F53*G53</f>
        <v>0</v>
      </c>
      <c r="BK53" s="33"/>
      <c r="BL53" s="33">
        <v>16</v>
      </c>
      <c r="BW53" s="33">
        <v>21</v>
      </c>
    </row>
    <row r="54" spans="1:75" ht="15" customHeight="1">
      <c r="A54" s="45"/>
      <c r="C54" s="13" t="s">
        <v>102</v>
      </c>
      <c r="D54" s="13" t="s">
        <v>421</v>
      </c>
      <c r="F54" s="49">
        <v>76.257500000000007</v>
      </c>
      <c r="K54" s="7"/>
    </row>
    <row r="55" spans="1:75" ht="15" customHeight="1">
      <c r="A55" s="45"/>
      <c r="C55" s="13" t="s">
        <v>617</v>
      </c>
      <c r="D55" s="13" t="s">
        <v>421</v>
      </c>
      <c r="F55" s="49">
        <v>1.8860400000000002</v>
      </c>
      <c r="K55" s="7"/>
    </row>
    <row r="56" spans="1:75" ht="13.5" customHeight="1">
      <c r="A56" s="2" t="s">
        <v>28</v>
      </c>
      <c r="B56" s="5" t="s">
        <v>74</v>
      </c>
      <c r="C56" s="66" t="s">
        <v>131</v>
      </c>
      <c r="D56" s="63"/>
      <c r="E56" s="5" t="s">
        <v>562</v>
      </c>
      <c r="F56" s="33">
        <v>213.584</v>
      </c>
      <c r="G56" s="33">
        <v>0</v>
      </c>
      <c r="H56" s="33">
        <f>F56*AO56</f>
        <v>0</v>
      </c>
      <c r="I56" s="33">
        <f>F56*AP56</f>
        <v>0</v>
      </c>
      <c r="J56" s="33">
        <f>F56*G56</f>
        <v>0</v>
      </c>
      <c r="K56" s="6" t="s">
        <v>416</v>
      </c>
      <c r="Z56" s="33">
        <f>IF(AQ56="5",BJ56,0)</f>
        <v>0</v>
      </c>
      <c r="AB56" s="33">
        <f>IF(AQ56="1",BH56,0)</f>
        <v>0</v>
      </c>
      <c r="AC56" s="33">
        <f>IF(AQ56="1",BI56,0)</f>
        <v>0</v>
      </c>
      <c r="AD56" s="33">
        <f>IF(AQ56="7",BH56,0)</f>
        <v>0</v>
      </c>
      <c r="AE56" s="33">
        <f>IF(AQ56="7",BI56,0)</f>
        <v>0</v>
      </c>
      <c r="AF56" s="33">
        <f>IF(AQ56="2",BH56,0)</f>
        <v>0</v>
      </c>
      <c r="AG56" s="33">
        <f>IF(AQ56="2",BI56,0)</f>
        <v>0</v>
      </c>
      <c r="AH56" s="33">
        <f>IF(AQ56="0",BJ56,0)</f>
        <v>0</v>
      </c>
      <c r="AI56" s="21" t="s">
        <v>421</v>
      </c>
      <c r="AJ56" s="33">
        <f>IF(AN56=0,J56,0)</f>
        <v>0</v>
      </c>
      <c r="AK56" s="33">
        <f>IF(AN56=15,J56,0)</f>
        <v>0</v>
      </c>
      <c r="AL56" s="33">
        <f>IF(AN56=21,J56,0)</f>
        <v>0</v>
      </c>
      <c r="AN56" s="33">
        <v>21</v>
      </c>
      <c r="AO56" s="33">
        <f>G56*0</f>
        <v>0</v>
      </c>
      <c r="AP56" s="33">
        <f>G56*(1-0)</f>
        <v>0</v>
      </c>
      <c r="AQ56" s="51" t="s">
        <v>578</v>
      </c>
      <c r="AV56" s="33">
        <f>AW56+AX56</f>
        <v>0</v>
      </c>
      <c r="AW56" s="33">
        <f>F56*AO56</f>
        <v>0</v>
      </c>
      <c r="AX56" s="33">
        <f>F56*AP56</f>
        <v>0</v>
      </c>
      <c r="AY56" s="51" t="s">
        <v>545</v>
      </c>
      <c r="AZ56" s="51" t="s">
        <v>65</v>
      </c>
      <c r="BA56" s="21" t="s">
        <v>457</v>
      </c>
      <c r="BC56" s="33">
        <f>AW56+AX56</f>
        <v>0</v>
      </c>
      <c r="BD56" s="33">
        <f>G56/(100-BE56)*100</f>
        <v>0</v>
      </c>
      <c r="BE56" s="33">
        <v>0</v>
      </c>
      <c r="BF56" s="33">
        <f>56</f>
        <v>56</v>
      </c>
      <c r="BH56" s="33">
        <f>F56*AO56</f>
        <v>0</v>
      </c>
      <c r="BI56" s="33">
        <f>F56*AP56</f>
        <v>0</v>
      </c>
      <c r="BJ56" s="33">
        <f>F56*G56</f>
        <v>0</v>
      </c>
      <c r="BK56" s="33"/>
      <c r="BL56" s="33">
        <v>16</v>
      </c>
      <c r="BW56" s="33">
        <v>21</v>
      </c>
    </row>
    <row r="57" spans="1:75" ht="15" customHeight="1">
      <c r="A57" s="45"/>
      <c r="C57" s="13" t="s">
        <v>373</v>
      </c>
      <c r="D57" s="13" t="s">
        <v>421</v>
      </c>
      <c r="F57" s="49">
        <v>201.17300000000003</v>
      </c>
      <c r="K57" s="7"/>
    </row>
    <row r="58" spans="1:75" ht="15" customHeight="1">
      <c r="A58" s="45"/>
      <c r="C58" s="13" t="s">
        <v>210</v>
      </c>
      <c r="D58" s="13" t="s">
        <v>421</v>
      </c>
      <c r="F58" s="49">
        <v>12.411000000000001</v>
      </c>
      <c r="K58" s="7"/>
    </row>
    <row r="59" spans="1:75" ht="13.5" customHeight="1">
      <c r="A59" s="2" t="s">
        <v>430</v>
      </c>
      <c r="B59" s="5" t="s">
        <v>530</v>
      </c>
      <c r="C59" s="66" t="s">
        <v>255</v>
      </c>
      <c r="D59" s="63"/>
      <c r="E59" s="5" t="s">
        <v>562</v>
      </c>
      <c r="F59" s="33">
        <v>172.43326999999999</v>
      </c>
      <c r="G59" s="33">
        <v>0</v>
      </c>
      <c r="H59" s="33">
        <f>F59*AO59</f>
        <v>0</v>
      </c>
      <c r="I59" s="33">
        <f>F59*AP59</f>
        <v>0</v>
      </c>
      <c r="J59" s="33">
        <f>F59*G59</f>
        <v>0</v>
      </c>
      <c r="K59" s="6" t="s">
        <v>416</v>
      </c>
      <c r="Z59" s="33">
        <f>IF(AQ59="5",BJ59,0)</f>
        <v>0</v>
      </c>
      <c r="AB59" s="33">
        <f>IF(AQ59="1",BH59,0)</f>
        <v>0</v>
      </c>
      <c r="AC59" s="33">
        <f>IF(AQ59="1",BI59,0)</f>
        <v>0</v>
      </c>
      <c r="AD59" s="33">
        <f>IF(AQ59="7",BH59,0)</f>
        <v>0</v>
      </c>
      <c r="AE59" s="33">
        <f>IF(AQ59="7",BI59,0)</f>
        <v>0</v>
      </c>
      <c r="AF59" s="33">
        <f>IF(AQ59="2",BH59,0)</f>
        <v>0</v>
      </c>
      <c r="AG59" s="33">
        <f>IF(AQ59="2",BI59,0)</f>
        <v>0</v>
      </c>
      <c r="AH59" s="33">
        <f>IF(AQ59="0",BJ59,0)</f>
        <v>0</v>
      </c>
      <c r="AI59" s="21" t="s">
        <v>421</v>
      </c>
      <c r="AJ59" s="33">
        <f>IF(AN59=0,J59,0)</f>
        <v>0</v>
      </c>
      <c r="AK59" s="33">
        <f>IF(AN59=15,J59,0)</f>
        <v>0</v>
      </c>
      <c r="AL59" s="33">
        <f>IF(AN59=21,J59,0)</f>
        <v>0</v>
      </c>
      <c r="AN59" s="33">
        <v>21</v>
      </c>
      <c r="AO59" s="33">
        <f>G59*0</f>
        <v>0</v>
      </c>
      <c r="AP59" s="33">
        <f>G59*(1-0)</f>
        <v>0</v>
      </c>
      <c r="AQ59" s="51" t="s">
        <v>578</v>
      </c>
      <c r="AV59" s="33">
        <f>AW59+AX59</f>
        <v>0</v>
      </c>
      <c r="AW59" s="33">
        <f>F59*AO59</f>
        <v>0</v>
      </c>
      <c r="AX59" s="33">
        <f>F59*AP59</f>
        <v>0</v>
      </c>
      <c r="AY59" s="51" t="s">
        <v>545</v>
      </c>
      <c r="AZ59" s="51" t="s">
        <v>65</v>
      </c>
      <c r="BA59" s="21" t="s">
        <v>457</v>
      </c>
      <c r="BC59" s="33">
        <f>AW59+AX59</f>
        <v>0</v>
      </c>
      <c r="BD59" s="33">
        <f>G59/(100-BE59)*100</f>
        <v>0</v>
      </c>
      <c r="BE59" s="33">
        <v>0</v>
      </c>
      <c r="BF59" s="33">
        <f>59</f>
        <v>59</v>
      </c>
      <c r="BH59" s="33">
        <f>F59*AO59</f>
        <v>0</v>
      </c>
      <c r="BI59" s="33">
        <f>F59*AP59</f>
        <v>0</v>
      </c>
      <c r="BJ59" s="33">
        <f>F59*G59</f>
        <v>0</v>
      </c>
      <c r="BK59" s="33"/>
      <c r="BL59" s="33">
        <v>16</v>
      </c>
      <c r="BW59" s="33">
        <v>21</v>
      </c>
    </row>
    <row r="60" spans="1:75" ht="15" customHeight="1">
      <c r="A60" s="45"/>
      <c r="C60" s="13" t="s">
        <v>600</v>
      </c>
      <c r="D60" s="13" t="s">
        <v>421</v>
      </c>
      <c r="F60" s="49">
        <v>50.499540000000003</v>
      </c>
      <c r="K60" s="7"/>
    </row>
    <row r="61" spans="1:75" ht="15" customHeight="1">
      <c r="A61" s="45"/>
      <c r="C61" s="13" t="s">
        <v>34</v>
      </c>
      <c r="D61" s="13" t="s">
        <v>421</v>
      </c>
      <c r="F61" s="49">
        <v>121.93373000000001</v>
      </c>
      <c r="K61" s="7"/>
    </row>
    <row r="62" spans="1:75" ht="13.5" customHeight="1">
      <c r="A62" s="2" t="s">
        <v>556</v>
      </c>
      <c r="B62" s="5" t="s">
        <v>281</v>
      </c>
      <c r="C62" s="66" t="s">
        <v>163</v>
      </c>
      <c r="D62" s="63"/>
      <c r="E62" s="5" t="s">
        <v>562</v>
      </c>
      <c r="F62" s="33">
        <v>172.43326999999999</v>
      </c>
      <c r="G62" s="33">
        <v>0</v>
      </c>
      <c r="H62" s="33">
        <f>F62*AO62</f>
        <v>0</v>
      </c>
      <c r="I62" s="33">
        <f>F62*AP62</f>
        <v>0</v>
      </c>
      <c r="J62" s="33">
        <f>F62*G62</f>
        <v>0</v>
      </c>
      <c r="K62" s="6" t="s">
        <v>416</v>
      </c>
      <c r="Z62" s="33">
        <f>IF(AQ62="5",BJ62,0)</f>
        <v>0</v>
      </c>
      <c r="AB62" s="33">
        <f>IF(AQ62="1",BH62,0)</f>
        <v>0</v>
      </c>
      <c r="AC62" s="33">
        <f>IF(AQ62="1",BI62,0)</f>
        <v>0</v>
      </c>
      <c r="AD62" s="33">
        <f>IF(AQ62="7",BH62,0)</f>
        <v>0</v>
      </c>
      <c r="AE62" s="33">
        <f>IF(AQ62="7",BI62,0)</f>
        <v>0</v>
      </c>
      <c r="AF62" s="33">
        <f>IF(AQ62="2",BH62,0)</f>
        <v>0</v>
      </c>
      <c r="AG62" s="33">
        <f>IF(AQ62="2",BI62,0)</f>
        <v>0</v>
      </c>
      <c r="AH62" s="33">
        <f>IF(AQ62="0",BJ62,0)</f>
        <v>0</v>
      </c>
      <c r="AI62" s="21" t="s">
        <v>421</v>
      </c>
      <c r="AJ62" s="33">
        <f>IF(AN62=0,J62,0)</f>
        <v>0</v>
      </c>
      <c r="AK62" s="33">
        <f>IF(AN62=15,J62,0)</f>
        <v>0</v>
      </c>
      <c r="AL62" s="33">
        <f>IF(AN62=21,J62,0)</f>
        <v>0</v>
      </c>
      <c r="AN62" s="33">
        <v>21</v>
      </c>
      <c r="AO62" s="33">
        <f>G62*0</f>
        <v>0</v>
      </c>
      <c r="AP62" s="33">
        <f>G62*(1-0)</f>
        <v>0</v>
      </c>
      <c r="AQ62" s="51" t="s">
        <v>578</v>
      </c>
      <c r="AV62" s="33">
        <f>AW62+AX62</f>
        <v>0</v>
      </c>
      <c r="AW62" s="33">
        <f>F62*AO62</f>
        <v>0</v>
      </c>
      <c r="AX62" s="33">
        <f>F62*AP62</f>
        <v>0</v>
      </c>
      <c r="AY62" s="51" t="s">
        <v>545</v>
      </c>
      <c r="AZ62" s="51" t="s">
        <v>65</v>
      </c>
      <c r="BA62" s="21" t="s">
        <v>457</v>
      </c>
      <c r="BC62" s="33">
        <f>AW62+AX62</f>
        <v>0</v>
      </c>
      <c r="BD62" s="33">
        <f>G62/(100-BE62)*100</f>
        <v>0</v>
      </c>
      <c r="BE62" s="33">
        <v>0</v>
      </c>
      <c r="BF62" s="33">
        <f>62</f>
        <v>62</v>
      </c>
      <c r="BH62" s="33">
        <f>F62*AO62</f>
        <v>0</v>
      </c>
      <c r="BI62" s="33">
        <f>F62*AP62</f>
        <v>0</v>
      </c>
      <c r="BJ62" s="33">
        <f>F62*G62</f>
        <v>0</v>
      </c>
      <c r="BK62" s="33"/>
      <c r="BL62" s="33">
        <v>16</v>
      </c>
      <c r="BW62" s="33">
        <v>21</v>
      </c>
    </row>
    <row r="63" spans="1:75" ht="15" customHeight="1">
      <c r="A63" s="45"/>
      <c r="C63" s="13" t="s">
        <v>239</v>
      </c>
      <c r="D63" s="13" t="s">
        <v>421</v>
      </c>
      <c r="F63" s="49">
        <v>172.43327000000002</v>
      </c>
      <c r="K63" s="7"/>
    </row>
    <row r="64" spans="1:75" ht="13.5" customHeight="1">
      <c r="A64" s="2" t="s">
        <v>276</v>
      </c>
      <c r="B64" s="5" t="s">
        <v>530</v>
      </c>
      <c r="C64" s="66" t="s">
        <v>250</v>
      </c>
      <c r="D64" s="63"/>
      <c r="E64" s="5" t="s">
        <v>562</v>
      </c>
      <c r="F64" s="33">
        <v>172.43326999999999</v>
      </c>
      <c r="G64" s="33">
        <v>0</v>
      </c>
      <c r="H64" s="33">
        <f>F64*AO64</f>
        <v>0</v>
      </c>
      <c r="I64" s="33">
        <f>F64*AP64</f>
        <v>0</v>
      </c>
      <c r="J64" s="33">
        <f>F64*G64</f>
        <v>0</v>
      </c>
      <c r="K64" s="6" t="s">
        <v>416</v>
      </c>
      <c r="Z64" s="33">
        <f>IF(AQ64="5",BJ64,0)</f>
        <v>0</v>
      </c>
      <c r="AB64" s="33">
        <f>IF(AQ64="1",BH64,0)</f>
        <v>0</v>
      </c>
      <c r="AC64" s="33">
        <f>IF(AQ64="1",BI64,0)</f>
        <v>0</v>
      </c>
      <c r="AD64" s="33">
        <f>IF(AQ64="7",BH64,0)</f>
        <v>0</v>
      </c>
      <c r="AE64" s="33">
        <f>IF(AQ64="7",BI64,0)</f>
        <v>0</v>
      </c>
      <c r="AF64" s="33">
        <f>IF(AQ64="2",BH64,0)</f>
        <v>0</v>
      </c>
      <c r="AG64" s="33">
        <f>IF(AQ64="2",BI64,0)</f>
        <v>0</v>
      </c>
      <c r="AH64" s="33">
        <f>IF(AQ64="0",BJ64,0)</f>
        <v>0</v>
      </c>
      <c r="AI64" s="21" t="s">
        <v>421</v>
      </c>
      <c r="AJ64" s="33">
        <f>IF(AN64=0,J64,0)</f>
        <v>0</v>
      </c>
      <c r="AK64" s="33">
        <f>IF(AN64=15,J64,0)</f>
        <v>0</v>
      </c>
      <c r="AL64" s="33">
        <f>IF(AN64=21,J64,0)</f>
        <v>0</v>
      </c>
      <c r="AN64" s="33">
        <v>21</v>
      </c>
      <c r="AO64" s="33">
        <f>G64*0</f>
        <v>0</v>
      </c>
      <c r="AP64" s="33">
        <f>G64*(1-0)</f>
        <v>0</v>
      </c>
      <c r="AQ64" s="51" t="s">
        <v>578</v>
      </c>
      <c r="AV64" s="33">
        <f>AW64+AX64</f>
        <v>0</v>
      </c>
      <c r="AW64" s="33">
        <f>F64*AO64</f>
        <v>0</v>
      </c>
      <c r="AX64" s="33">
        <f>F64*AP64</f>
        <v>0</v>
      </c>
      <c r="AY64" s="51" t="s">
        <v>545</v>
      </c>
      <c r="AZ64" s="51" t="s">
        <v>65</v>
      </c>
      <c r="BA64" s="21" t="s">
        <v>457</v>
      </c>
      <c r="BC64" s="33">
        <f>AW64+AX64</f>
        <v>0</v>
      </c>
      <c r="BD64" s="33">
        <f>G64/(100-BE64)*100</f>
        <v>0</v>
      </c>
      <c r="BE64" s="33">
        <v>0</v>
      </c>
      <c r="BF64" s="33">
        <f>64</f>
        <v>64</v>
      </c>
      <c r="BH64" s="33">
        <f>F64*AO64</f>
        <v>0</v>
      </c>
      <c r="BI64" s="33">
        <f>F64*AP64</f>
        <v>0</v>
      </c>
      <c r="BJ64" s="33">
        <f>F64*G64</f>
        <v>0</v>
      </c>
      <c r="BK64" s="33"/>
      <c r="BL64" s="33">
        <v>16</v>
      </c>
      <c r="BW64" s="33">
        <v>21</v>
      </c>
    </row>
    <row r="65" spans="1:75" ht="15" customHeight="1">
      <c r="A65" s="45"/>
      <c r="C65" s="13" t="s">
        <v>600</v>
      </c>
      <c r="D65" s="13" t="s">
        <v>421</v>
      </c>
      <c r="F65" s="49">
        <v>50.499540000000003</v>
      </c>
      <c r="K65" s="7"/>
    </row>
    <row r="66" spans="1:75" ht="15" customHeight="1">
      <c r="A66" s="45"/>
      <c r="C66" s="13" t="s">
        <v>34</v>
      </c>
      <c r="D66" s="13" t="s">
        <v>421</v>
      </c>
      <c r="F66" s="49">
        <v>121.93373000000001</v>
      </c>
      <c r="K66" s="7"/>
    </row>
    <row r="67" spans="1:75" ht="13.5" customHeight="1">
      <c r="A67" s="2" t="s">
        <v>55</v>
      </c>
      <c r="B67" s="5" t="s">
        <v>281</v>
      </c>
      <c r="C67" s="66" t="s">
        <v>428</v>
      </c>
      <c r="D67" s="63"/>
      <c r="E67" s="5" t="s">
        <v>562</v>
      </c>
      <c r="F67" s="33">
        <v>172.43326999999999</v>
      </c>
      <c r="G67" s="33">
        <v>0</v>
      </c>
      <c r="H67" s="33">
        <f>F67*AO67</f>
        <v>0</v>
      </c>
      <c r="I67" s="33">
        <f>F67*AP67</f>
        <v>0</v>
      </c>
      <c r="J67" s="33">
        <f>F67*G67</f>
        <v>0</v>
      </c>
      <c r="K67" s="6" t="s">
        <v>416</v>
      </c>
      <c r="Z67" s="33">
        <f>IF(AQ67="5",BJ67,0)</f>
        <v>0</v>
      </c>
      <c r="AB67" s="33">
        <f>IF(AQ67="1",BH67,0)</f>
        <v>0</v>
      </c>
      <c r="AC67" s="33">
        <f>IF(AQ67="1",BI67,0)</f>
        <v>0</v>
      </c>
      <c r="AD67" s="33">
        <f>IF(AQ67="7",BH67,0)</f>
        <v>0</v>
      </c>
      <c r="AE67" s="33">
        <f>IF(AQ67="7",BI67,0)</f>
        <v>0</v>
      </c>
      <c r="AF67" s="33">
        <f>IF(AQ67="2",BH67,0)</f>
        <v>0</v>
      </c>
      <c r="AG67" s="33">
        <f>IF(AQ67="2",BI67,0)</f>
        <v>0</v>
      </c>
      <c r="AH67" s="33">
        <f>IF(AQ67="0",BJ67,0)</f>
        <v>0</v>
      </c>
      <c r="AI67" s="21" t="s">
        <v>421</v>
      </c>
      <c r="AJ67" s="33">
        <f>IF(AN67=0,J67,0)</f>
        <v>0</v>
      </c>
      <c r="AK67" s="33">
        <f>IF(AN67=15,J67,0)</f>
        <v>0</v>
      </c>
      <c r="AL67" s="33">
        <f>IF(AN67=21,J67,0)</f>
        <v>0</v>
      </c>
      <c r="AN67" s="33">
        <v>21</v>
      </c>
      <c r="AO67" s="33">
        <f>G67*0</f>
        <v>0</v>
      </c>
      <c r="AP67" s="33">
        <f>G67*(1-0)</f>
        <v>0</v>
      </c>
      <c r="AQ67" s="51" t="s">
        <v>578</v>
      </c>
      <c r="AV67" s="33">
        <f>AW67+AX67</f>
        <v>0</v>
      </c>
      <c r="AW67" s="33">
        <f>F67*AO67</f>
        <v>0</v>
      </c>
      <c r="AX67" s="33">
        <f>F67*AP67</f>
        <v>0</v>
      </c>
      <c r="AY67" s="51" t="s">
        <v>545</v>
      </c>
      <c r="AZ67" s="51" t="s">
        <v>65</v>
      </c>
      <c r="BA67" s="21" t="s">
        <v>457</v>
      </c>
      <c r="BC67" s="33">
        <f>AW67+AX67</f>
        <v>0</v>
      </c>
      <c r="BD67" s="33">
        <f>G67/(100-BE67)*100</f>
        <v>0</v>
      </c>
      <c r="BE67" s="33">
        <v>0</v>
      </c>
      <c r="BF67" s="33">
        <f>67</f>
        <v>67</v>
      </c>
      <c r="BH67" s="33">
        <f>F67*AO67</f>
        <v>0</v>
      </c>
      <c r="BI67" s="33">
        <f>F67*AP67</f>
        <v>0</v>
      </c>
      <c r="BJ67" s="33">
        <f>F67*G67</f>
        <v>0</v>
      </c>
      <c r="BK67" s="33"/>
      <c r="BL67" s="33">
        <v>16</v>
      </c>
      <c r="BW67" s="33">
        <v>21</v>
      </c>
    </row>
    <row r="68" spans="1:75" ht="15" customHeight="1">
      <c r="A68" s="45"/>
      <c r="C68" s="13" t="s">
        <v>239</v>
      </c>
      <c r="D68" s="13" t="s">
        <v>421</v>
      </c>
      <c r="F68" s="49">
        <v>172.43327000000002</v>
      </c>
      <c r="K68" s="7"/>
    </row>
    <row r="69" spans="1:75" ht="13.5" customHeight="1">
      <c r="A69" s="2" t="s">
        <v>146</v>
      </c>
      <c r="B69" s="5" t="s">
        <v>530</v>
      </c>
      <c r="C69" s="66" t="s">
        <v>476</v>
      </c>
      <c r="D69" s="63"/>
      <c r="E69" s="5" t="s">
        <v>562</v>
      </c>
      <c r="F69" s="33">
        <v>106.88363</v>
      </c>
      <c r="G69" s="33">
        <v>0</v>
      </c>
      <c r="H69" s="33">
        <f>F69*AO69</f>
        <v>0</v>
      </c>
      <c r="I69" s="33">
        <f>F69*AP69</f>
        <v>0</v>
      </c>
      <c r="J69" s="33">
        <f>F69*G69</f>
        <v>0</v>
      </c>
      <c r="K69" s="6" t="s">
        <v>416</v>
      </c>
      <c r="Z69" s="33">
        <f>IF(AQ69="5",BJ69,0)</f>
        <v>0</v>
      </c>
      <c r="AB69" s="33">
        <f>IF(AQ69="1",BH69,0)</f>
        <v>0</v>
      </c>
      <c r="AC69" s="33">
        <f>IF(AQ69="1",BI69,0)</f>
        <v>0</v>
      </c>
      <c r="AD69" s="33">
        <f>IF(AQ69="7",BH69,0)</f>
        <v>0</v>
      </c>
      <c r="AE69" s="33">
        <f>IF(AQ69="7",BI69,0)</f>
        <v>0</v>
      </c>
      <c r="AF69" s="33">
        <f>IF(AQ69="2",BH69,0)</f>
        <v>0</v>
      </c>
      <c r="AG69" s="33">
        <f>IF(AQ69="2",BI69,0)</f>
        <v>0</v>
      </c>
      <c r="AH69" s="33">
        <f>IF(AQ69="0",BJ69,0)</f>
        <v>0</v>
      </c>
      <c r="AI69" s="21" t="s">
        <v>421</v>
      </c>
      <c r="AJ69" s="33">
        <f>IF(AN69=0,J69,0)</f>
        <v>0</v>
      </c>
      <c r="AK69" s="33">
        <f>IF(AN69=15,J69,0)</f>
        <v>0</v>
      </c>
      <c r="AL69" s="33">
        <f>IF(AN69=21,J69,0)</f>
        <v>0</v>
      </c>
      <c r="AN69" s="33">
        <v>21</v>
      </c>
      <c r="AO69" s="33">
        <f>G69*0</f>
        <v>0</v>
      </c>
      <c r="AP69" s="33">
        <f>G69*(1-0)</f>
        <v>0</v>
      </c>
      <c r="AQ69" s="51" t="s">
        <v>578</v>
      </c>
      <c r="AV69" s="33">
        <f>AW69+AX69</f>
        <v>0</v>
      </c>
      <c r="AW69" s="33">
        <f>F69*AO69</f>
        <v>0</v>
      </c>
      <c r="AX69" s="33">
        <f>F69*AP69</f>
        <v>0</v>
      </c>
      <c r="AY69" s="51" t="s">
        <v>545</v>
      </c>
      <c r="AZ69" s="51" t="s">
        <v>65</v>
      </c>
      <c r="BA69" s="21" t="s">
        <v>457</v>
      </c>
      <c r="BC69" s="33">
        <f>AW69+AX69</f>
        <v>0</v>
      </c>
      <c r="BD69" s="33">
        <f>G69/(100-BE69)*100</f>
        <v>0</v>
      </c>
      <c r="BE69" s="33">
        <v>0</v>
      </c>
      <c r="BF69" s="33">
        <f>69</f>
        <v>69</v>
      </c>
      <c r="BH69" s="33">
        <f>F69*AO69</f>
        <v>0</v>
      </c>
      <c r="BI69" s="33">
        <f>F69*AP69</f>
        <v>0</v>
      </c>
      <c r="BJ69" s="33">
        <f>F69*G69</f>
        <v>0</v>
      </c>
      <c r="BK69" s="33"/>
      <c r="BL69" s="33">
        <v>16</v>
      </c>
      <c r="BW69" s="33">
        <v>21</v>
      </c>
    </row>
    <row r="70" spans="1:75" ht="15" customHeight="1">
      <c r="A70" s="45"/>
      <c r="C70" s="13" t="s">
        <v>561</v>
      </c>
      <c r="D70" s="13" t="s">
        <v>421</v>
      </c>
      <c r="F70" s="49">
        <v>279.31654000000003</v>
      </c>
      <c r="K70" s="7"/>
    </row>
    <row r="71" spans="1:75" ht="15" customHeight="1">
      <c r="A71" s="45"/>
      <c r="C71" s="13" t="s">
        <v>76</v>
      </c>
      <c r="D71" s="13" t="s">
        <v>421</v>
      </c>
      <c r="F71" s="49">
        <v>-50.499540000000003</v>
      </c>
      <c r="K71" s="7"/>
    </row>
    <row r="72" spans="1:75" ht="15" customHeight="1">
      <c r="A72" s="45"/>
      <c r="C72" s="13" t="s">
        <v>587</v>
      </c>
      <c r="D72" s="13" t="s">
        <v>421</v>
      </c>
      <c r="F72" s="49">
        <v>-121.93337000000001</v>
      </c>
      <c r="K72" s="7"/>
    </row>
    <row r="73" spans="1:75" ht="13.5" customHeight="1">
      <c r="A73" s="2" t="s">
        <v>78</v>
      </c>
      <c r="B73" s="5" t="s">
        <v>537</v>
      </c>
      <c r="C73" s="66" t="s">
        <v>620</v>
      </c>
      <c r="D73" s="63"/>
      <c r="E73" s="5" t="s">
        <v>562</v>
      </c>
      <c r="F73" s="33">
        <v>106.88363</v>
      </c>
      <c r="G73" s="33">
        <v>0</v>
      </c>
      <c r="H73" s="33">
        <f>F73*AO73</f>
        <v>0</v>
      </c>
      <c r="I73" s="33">
        <f>F73*AP73</f>
        <v>0</v>
      </c>
      <c r="J73" s="33">
        <f>F73*G73</f>
        <v>0</v>
      </c>
      <c r="K73" s="6" t="s">
        <v>416</v>
      </c>
      <c r="Z73" s="33">
        <f>IF(AQ73="5",BJ73,0)</f>
        <v>0</v>
      </c>
      <c r="AB73" s="33">
        <f>IF(AQ73="1",BH73,0)</f>
        <v>0</v>
      </c>
      <c r="AC73" s="33">
        <f>IF(AQ73="1",BI73,0)</f>
        <v>0</v>
      </c>
      <c r="AD73" s="33">
        <f>IF(AQ73="7",BH73,0)</f>
        <v>0</v>
      </c>
      <c r="AE73" s="33">
        <f>IF(AQ73="7",BI73,0)</f>
        <v>0</v>
      </c>
      <c r="AF73" s="33">
        <f>IF(AQ73="2",BH73,0)</f>
        <v>0</v>
      </c>
      <c r="AG73" s="33">
        <f>IF(AQ73="2",BI73,0)</f>
        <v>0</v>
      </c>
      <c r="AH73" s="33">
        <f>IF(AQ73="0",BJ73,0)</f>
        <v>0</v>
      </c>
      <c r="AI73" s="21" t="s">
        <v>421</v>
      </c>
      <c r="AJ73" s="33">
        <f>IF(AN73=0,J73,0)</f>
        <v>0</v>
      </c>
      <c r="AK73" s="33">
        <f>IF(AN73=15,J73,0)</f>
        <v>0</v>
      </c>
      <c r="AL73" s="33">
        <f>IF(AN73=21,J73,0)</f>
        <v>0</v>
      </c>
      <c r="AN73" s="33">
        <v>21</v>
      </c>
      <c r="AO73" s="33">
        <f>G73*0</f>
        <v>0</v>
      </c>
      <c r="AP73" s="33">
        <f>G73*(1-0)</f>
        <v>0</v>
      </c>
      <c r="AQ73" s="51" t="s">
        <v>578</v>
      </c>
      <c r="AV73" s="33">
        <f>AW73+AX73</f>
        <v>0</v>
      </c>
      <c r="AW73" s="33">
        <f>F73*AO73</f>
        <v>0</v>
      </c>
      <c r="AX73" s="33">
        <f>F73*AP73</f>
        <v>0</v>
      </c>
      <c r="AY73" s="51" t="s">
        <v>545</v>
      </c>
      <c r="AZ73" s="51" t="s">
        <v>65</v>
      </c>
      <c r="BA73" s="21" t="s">
        <v>457</v>
      </c>
      <c r="BC73" s="33">
        <f>AW73+AX73</f>
        <v>0</v>
      </c>
      <c r="BD73" s="33">
        <f>G73/(100-BE73)*100</f>
        <v>0</v>
      </c>
      <c r="BE73" s="33">
        <v>0</v>
      </c>
      <c r="BF73" s="33">
        <f>73</f>
        <v>73</v>
      </c>
      <c r="BH73" s="33">
        <f>F73*AO73</f>
        <v>0</v>
      </c>
      <c r="BI73" s="33">
        <f>F73*AP73</f>
        <v>0</v>
      </c>
      <c r="BJ73" s="33">
        <f>F73*G73</f>
        <v>0</v>
      </c>
      <c r="BK73" s="33"/>
      <c r="BL73" s="33">
        <v>16</v>
      </c>
      <c r="BW73" s="33">
        <v>21</v>
      </c>
    </row>
    <row r="74" spans="1:75" ht="15" customHeight="1">
      <c r="A74" s="45"/>
      <c r="C74" s="13" t="s">
        <v>175</v>
      </c>
      <c r="D74" s="13" t="s">
        <v>421</v>
      </c>
      <c r="F74" s="49">
        <v>106.88363000000001</v>
      </c>
      <c r="K74" s="7"/>
    </row>
    <row r="75" spans="1:75" ht="13.5" customHeight="1">
      <c r="A75" s="2" t="s">
        <v>568</v>
      </c>
      <c r="B75" s="5" t="s">
        <v>289</v>
      </c>
      <c r="C75" s="66" t="s">
        <v>329</v>
      </c>
      <c r="D75" s="63"/>
      <c r="E75" s="5" t="s">
        <v>562</v>
      </c>
      <c r="F75" s="33">
        <v>2030.7889700000001</v>
      </c>
      <c r="G75" s="33">
        <v>0</v>
      </c>
      <c r="H75" s="33">
        <f>F75*AO75</f>
        <v>0</v>
      </c>
      <c r="I75" s="33">
        <f>F75*AP75</f>
        <v>0</v>
      </c>
      <c r="J75" s="33">
        <f>F75*G75</f>
        <v>0</v>
      </c>
      <c r="K75" s="6" t="s">
        <v>416</v>
      </c>
      <c r="Z75" s="33">
        <f>IF(AQ75="5",BJ75,0)</f>
        <v>0</v>
      </c>
      <c r="AB75" s="33">
        <f>IF(AQ75="1",BH75,0)</f>
        <v>0</v>
      </c>
      <c r="AC75" s="33">
        <f>IF(AQ75="1",BI75,0)</f>
        <v>0</v>
      </c>
      <c r="AD75" s="33">
        <f>IF(AQ75="7",BH75,0)</f>
        <v>0</v>
      </c>
      <c r="AE75" s="33">
        <f>IF(AQ75="7",BI75,0)</f>
        <v>0</v>
      </c>
      <c r="AF75" s="33">
        <f>IF(AQ75="2",BH75,0)</f>
        <v>0</v>
      </c>
      <c r="AG75" s="33">
        <f>IF(AQ75="2",BI75,0)</f>
        <v>0</v>
      </c>
      <c r="AH75" s="33">
        <f>IF(AQ75="0",BJ75,0)</f>
        <v>0</v>
      </c>
      <c r="AI75" s="21" t="s">
        <v>421</v>
      </c>
      <c r="AJ75" s="33">
        <f>IF(AN75=0,J75,0)</f>
        <v>0</v>
      </c>
      <c r="AK75" s="33">
        <f>IF(AN75=15,J75,0)</f>
        <v>0</v>
      </c>
      <c r="AL75" s="33">
        <f>IF(AN75=21,J75,0)</f>
        <v>0</v>
      </c>
      <c r="AN75" s="33">
        <v>21</v>
      </c>
      <c r="AO75" s="33">
        <f>G75*0</f>
        <v>0</v>
      </c>
      <c r="AP75" s="33">
        <f>G75*(1-0)</f>
        <v>0</v>
      </c>
      <c r="AQ75" s="51" t="s">
        <v>578</v>
      </c>
      <c r="AV75" s="33">
        <f>AW75+AX75</f>
        <v>0</v>
      </c>
      <c r="AW75" s="33">
        <f>F75*AO75</f>
        <v>0</v>
      </c>
      <c r="AX75" s="33">
        <f>F75*AP75</f>
        <v>0</v>
      </c>
      <c r="AY75" s="51" t="s">
        <v>545</v>
      </c>
      <c r="AZ75" s="51" t="s">
        <v>65</v>
      </c>
      <c r="BA75" s="21" t="s">
        <v>457</v>
      </c>
      <c r="BC75" s="33">
        <f>AW75+AX75</f>
        <v>0</v>
      </c>
      <c r="BD75" s="33">
        <f>G75/(100-BE75)*100</f>
        <v>0</v>
      </c>
      <c r="BE75" s="33">
        <v>0</v>
      </c>
      <c r="BF75" s="33">
        <f>75</f>
        <v>75</v>
      </c>
      <c r="BH75" s="33">
        <f>F75*AO75</f>
        <v>0</v>
      </c>
      <c r="BI75" s="33">
        <f>F75*AP75</f>
        <v>0</v>
      </c>
      <c r="BJ75" s="33">
        <f>F75*G75</f>
        <v>0</v>
      </c>
      <c r="BK75" s="33"/>
      <c r="BL75" s="33">
        <v>16</v>
      </c>
      <c r="BW75" s="33">
        <v>21</v>
      </c>
    </row>
    <row r="76" spans="1:75" ht="15" customHeight="1">
      <c r="A76" s="45"/>
      <c r="C76" s="13" t="s">
        <v>444</v>
      </c>
      <c r="D76" s="13" t="s">
        <v>421</v>
      </c>
      <c r="F76" s="49">
        <v>2030.7889700000001</v>
      </c>
      <c r="K76" s="7"/>
    </row>
    <row r="77" spans="1:75" ht="15" customHeight="1">
      <c r="A77" s="54" t="s">
        <v>421</v>
      </c>
      <c r="B77" s="22" t="s">
        <v>422</v>
      </c>
      <c r="C77" s="79" t="s">
        <v>81</v>
      </c>
      <c r="D77" s="80"/>
      <c r="E77" s="3" t="s">
        <v>544</v>
      </c>
      <c r="F77" s="3" t="s">
        <v>544</v>
      </c>
      <c r="G77" s="3" t="s">
        <v>544</v>
      </c>
      <c r="H77" s="35">
        <f>SUM(H78:H96)</f>
        <v>0</v>
      </c>
      <c r="I77" s="35">
        <f>SUM(I78:I96)</f>
        <v>0</v>
      </c>
      <c r="J77" s="35">
        <f>SUM(J78:J96)</f>
        <v>0</v>
      </c>
      <c r="K77" s="16" t="s">
        <v>421</v>
      </c>
      <c r="AI77" s="21" t="s">
        <v>421</v>
      </c>
      <c r="AS77" s="35">
        <f>SUM(AJ78:AJ96)</f>
        <v>0</v>
      </c>
      <c r="AT77" s="35">
        <f>SUM(AK78:AK96)</f>
        <v>0</v>
      </c>
      <c r="AU77" s="35">
        <f>SUM(AL78:AL96)</f>
        <v>0</v>
      </c>
    </row>
    <row r="78" spans="1:75" ht="13.5" customHeight="1">
      <c r="A78" s="2" t="s">
        <v>634</v>
      </c>
      <c r="B78" s="5" t="s">
        <v>442</v>
      </c>
      <c r="C78" s="66" t="s">
        <v>368</v>
      </c>
      <c r="D78" s="63"/>
      <c r="E78" s="5" t="s">
        <v>562</v>
      </c>
      <c r="F78" s="33">
        <v>50.499540000000003</v>
      </c>
      <c r="G78" s="33">
        <v>0</v>
      </c>
      <c r="H78" s="33">
        <f>F78*AO78</f>
        <v>0</v>
      </c>
      <c r="I78" s="33">
        <f>F78*AP78</f>
        <v>0</v>
      </c>
      <c r="J78" s="33">
        <f>F78*G78</f>
        <v>0</v>
      </c>
      <c r="K78" s="6" t="s">
        <v>416</v>
      </c>
      <c r="Z78" s="33">
        <f>IF(AQ78="5",BJ78,0)</f>
        <v>0</v>
      </c>
      <c r="AB78" s="33">
        <f>IF(AQ78="1",BH78,0)</f>
        <v>0</v>
      </c>
      <c r="AC78" s="33">
        <f>IF(AQ78="1",BI78,0)</f>
        <v>0</v>
      </c>
      <c r="AD78" s="33">
        <f>IF(AQ78="7",BH78,0)</f>
        <v>0</v>
      </c>
      <c r="AE78" s="33">
        <f>IF(AQ78="7",BI78,0)</f>
        <v>0</v>
      </c>
      <c r="AF78" s="33">
        <f>IF(AQ78="2",BH78,0)</f>
        <v>0</v>
      </c>
      <c r="AG78" s="33">
        <f>IF(AQ78="2",BI78,0)</f>
        <v>0</v>
      </c>
      <c r="AH78" s="33">
        <f>IF(AQ78="0",BJ78,0)</f>
        <v>0</v>
      </c>
      <c r="AI78" s="21" t="s">
        <v>421</v>
      </c>
      <c r="AJ78" s="33">
        <f>IF(AN78=0,J78,0)</f>
        <v>0</v>
      </c>
      <c r="AK78" s="33">
        <f>IF(AN78=15,J78,0)</f>
        <v>0</v>
      </c>
      <c r="AL78" s="33">
        <f>IF(AN78=21,J78,0)</f>
        <v>0</v>
      </c>
      <c r="AN78" s="33">
        <v>21</v>
      </c>
      <c r="AO78" s="33">
        <f>G78*0</f>
        <v>0</v>
      </c>
      <c r="AP78" s="33">
        <f>G78*(1-0)</f>
        <v>0</v>
      </c>
      <c r="AQ78" s="51" t="s">
        <v>578</v>
      </c>
      <c r="AV78" s="33">
        <f>AW78+AX78</f>
        <v>0</v>
      </c>
      <c r="AW78" s="33">
        <f>F78*AO78</f>
        <v>0</v>
      </c>
      <c r="AX78" s="33">
        <f>F78*AP78</f>
        <v>0</v>
      </c>
      <c r="AY78" s="51" t="s">
        <v>124</v>
      </c>
      <c r="AZ78" s="51" t="s">
        <v>65</v>
      </c>
      <c r="BA78" s="21" t="s">
        <v>457</v>
      </c>
      <c r="BC78" s="33">
        <f>AW78+AX78</f>
        <v>0</v>
      </c>
      <c r="BD78" s="33">
        <f>G78/(100-BE78)*100</f>
        <v>0</v>
      </c>
      <c r="BE78" s="33">
        <v>0</v>
      </c>
      <c r="BF78" s="33">
        <f>78</f>
        <v>78</v>
      </c>
      <c r="BH78" s="33">
        <f>F78*AO78</f>
        <v>0</v>
      </c>
      <c r="BI78" s="33">
        <f>F78*AP78</f>
        <v>0</v>
      </c>
      <c r="BJ78" s="33">
        <f>F78*G78</f>
        <v>0</v>
      </c>
      <c r="BK78" s="33"/>
      <c r="BL78" s="33">
        <v>17</v>
      </c>
      <c r="BW78" s="33">
        <v>21</v>
      </c>
    </row>
    <row r="79" spans="1:75" ht="15" customHeight="1">
      <c r="A79" s="45"/>
      <c r="C79" s="13" t="s">
        <v>627</v>
      </c>
      <c r="D79" s="13" t="s">
        <v>421</v>
      </c>
      <c r="F79" s="49">
        <v>78.143540000000002</v>
      </c>
      <c r="K79" s="7"/>
    </row>
    <row r="80" spans="1:75" ht="15" customHeight="1">
      <c r="A80" s="45"/>
      <c r="C80" s="13" t="s">
        <v>61</v>
      </c>
      <c r="D80" s="13" t="s">
        <v>421</v>
      </c>
      <c r="F80" s="49">
        <v>-1.8135000000000001</v>
      </c>
      <c r="K80" s="7"/>
    </row>
    <row r="81" spans="1:75" ht="15" customHeight="1">
      <c r="A81" s="45"/>
      <c r="C81" s="13" t="s">
        <v>282</v>
      </c>
      <c r="D81" s="13" t="s">
        <v>421</v>
      </c>
      <c r="F81" s="49">
        <v>-1.8135000000000001</v>
      </c>
      <c r="K81" s="7"/>
    </row>
    <row r="82" spans="1:75" ht="15" customHeight="1">
      <c r="A82" s="45"/>
      <c r="C82" s="13" t="s">
        <v>173</v>
      </c>
      <c r="D82" s="13" t="s">
        <v>421</v>
      </c>
      <c r="F82" s="49">
        <v>-23.625000000000004</v>
      </c>
      <c r="K82" s="7"/>
    </row>
    <row r="83" spans="1:75" ht="15" customHeight="1">
      <c r="A83" s="45"/>
      <c r="C83" s="13" t="s">
        <v>477</v>
      </c>
      <c r="D83" s="13" t="s">
        <v>421</v>
      </c>
      <c r="F83" s="49">
        <v>-0.39200000000000002</v>
      </c>
      <c r="K83" s="7"/>
    </row>
    <row r="84" spans="1:75" ht="13.5" customHeight="1">
      <c r="A84" s="2" t="s">
        <v>43</v>
      </c>
      <c r="B84" s="5" t="s">
        <v>461</v>
      </c>
      <c r="C84" s="66" t="s">
        <v>17</v>
      </c>
      <c r="D84" s="63"/>
      <c r="E84" s="5" t="s">
        <v>562</v>
      </c>
      <c r="F84" s="33">
        <v>58.554270000000002</v>
      </c>
      <c r="G84" s="33">
        <v>0</v>
      </c>
      <c r="H84" s="33">
        <f>F84*AO84</f>
        <v>0</v>
      </c>
      <c r="I84" s="33">
        <f>F84*AP84</f>
        <v>0</v>
      </c>
      <c r="J84" s="33">
        <f>F84*G84</f>
        <v>0</v>
      </c>
      <c r="K84" s="6" t="s">
        <v>416</v>
      </c>
      <c r="Z84" s="33">
        <f>IF(AQ84="5",BJ84,0)</f>
        <v>0</v>
      </c>
      <c r="AB84" s="33">
        <f>IF(AQ84="1",BH84,0)</f>
        <v>0</v>
      </c>
      <c r="AC84" s="33">
        <f>IF(AQ84="1",BI84,0)</f>
        <v>0</v>
      </c>
      <c r="AD84" s="33">
        <f>IF(AQ84="7",BH84,0)</f>
        <v>0</v>
      </c>
      <c r="AE84" s="33">
        <f>IF(AQ84="7",BI84,0)</f>
        <v>0</v>
      </c>
      <c r="AF84" s="33">
        <f>IF(AQ84="2",BH84,0)</f>
        <v>0</v>
      </c>
      <c r="AG84" s="33">
        <f>IF(AQ84="2",BI84,0)</f>
        <v>0</v>
      </c>
      <c r="AH84" s="33">
        <f>IF(AQ84="0",BJ84,0)</f>
        <v>0</v>
      </c>
      <c r="AI84" s="21" t="s">
        <v>421</v>
      </c>
      <c r="AJ84" s="33">
        <f>IF(AN84=0,J84,0)</f>
        <v>0</v>
      </c>
      <c r="AK84" s="33">
        <f>IF(AN84=15,J84,0)</f>
        <v>0</v>
      </c>
      <c r="AL84" s="33">
        <f>IF(AN84=21,J84,0)</f>
        <v>0</v>
      </c>
      <c r="AN84" s="33">
        <v>21</v>
      </c>
      <c r="AO84" s="33">
        <f>G84*0.296986637084728</f>
        <v>0</v>
      </c>
      <c r="AP84" s="33">
        <f>G84*(1-0.296986637084728)</f>
        <v>0</v>
      </c>
      <c r="AQ84" s="51" t="s">
        <v>578</v>
      </c>
      <c r="AV84" s="33">
        <f>AW84+AX84</f>
        <v>0</v>
      </c>
      <c r="AW84" s="33">
        <f>F84*AO84</f>
        <v>0</v>
      </c>
      <c r="AX84" s="33">
        <f>F84*AP84</f>
        <v>0</v>
      </c>
      <c r="AY84" s="51" t="s">
        <v>124</v>
      </c>
      <c r="AZ84" s="51" t="s">
        <v>65</v>
      </c>
      <c r="BA84" s="21" t="s">
        <v>457</v>
      </c>
      <c r="BC84" s="33">
        <f>AW84+AX84</f>
        <v>0</v>
      </c>
      <c r="BD84" s="33">
        <f>G84/(100-BE84)*100</f>
        <v>0</v>
      </c>
      <c r="BE84" s="33">
        <v>0</v>
      </c>
      <c r="BF84" s="33">
        <f>84</f>
        <v>84</v>
      </c>
      <c r="BH84" s="33">
        <f>F84*AO84</f>
        <v>0</v>
      </c>
      <c r="BI84" s="33">
        <f>F84*AP84</f>
        <v>0</v>
      </c>
      <c r="BJ84" s="33">
        <f>F84*G84</f>
        <v>0</v>
      </c>
      <c r="BK84" s="33"/>
      <c r="BL84" s="33">
        <v>17</v>
      </c>
      <c r="BW84" s="33">
        <v>21</v>
      </c>
    </row>
    <row r="85" spans="1:75" ht="15" customHeight="1">
      <c r="A85" s="45"/>
      <c r="C85" s="13" t="s">
        <v>410</v>
      </c>
      <c r="D85" s="13" t="s">
        <v>421</v>
      </c>
      <c r="F85" s="49">
        <v>60.676000000000002</v>
      </c>
      <c r="K85" s="7"/>
    </row>
    <row r="86" spans="1:75" ht="15" customHeight="1">
      <c r="A86" s="45"/>
      <c r="C86" s="13" t="s">
        <v>256</v>
      </c>
      <c r="D86" s="13" t="s">
        <v>421</v>
      </c>
      <c r="F86" s="49">
        <v>-2.1217300000000003</v>
      </c>
      <c r="K86" s="7"/>
    </row>
    <row r="87" spans="1:75" ht="15" customHeight="1">
      <c r="A87" s="45"/>
      <c r="C87" s="13" t="s">
        <v>301</v>
      </c>
      <c r="D87" s="13" t="s">
        <v>421</v>
      </c>
      <c r="F87" s="49">
        <v>0</v>
      </c>
      <c r="K87" s="7"/>
    </row>
    <row r="88" spans="1:75" ht="13.5" customHeight="1">
      <c r="A88" s="2" t="s">
        <v>390</v>
      </c>
      <c r="B88" s="5" t="s">
        <v>442</v>
      </c>
      <c r="C88" s="66" t="s">
        <v>20</v>
      </c>
      <c r="D88" s="63"/>
      <c r="E88" s="5" t="s">
        <v>562</v>
      </c>
      <c r="F88" s="33">
        <v>121.93373</v>
      </c>
      <c r="G88" s="33">
        <v>0</v>
      </c>
      <c r="H88" s="33">
        <f>F88*AO88</f>
        <v>0</v>
      </c>
      <c r="I88" s="33">
        <f>F88*AP88</f>
        <v>0</v>
      </c>
      <c r="J88" s="33">
        <f>F88*G88</f>
        <v>0</v>
      </c>
      <c r="K88" s="6" t="s">
        <v>416</v>
      </c>
      <c r="Z88" s="33">
        <f>IF(AQ88="5",BJ88,0)</f>
        <v>0</v>
      </c>
      <c r="AB88" s="33">
        <f>IF(AQ88="1",BH88,0)</f>
        <v>0</v>
      </c>
      <c r="AC88" s="33">
        <f>IF(AQ88="1",BI88,0)</f>
        <v>0</v>
      </c>
      <c r="AD88" s="33">
        <f>IF(AQ88="7",BH88,0)</f>
        <v>0</v>
      </c>
      <c r="AE88" s="33">
        <f>IF(AQ88="7",BI88,0)</f>
        <v>0</v>
      </c>
      <c r="AF88" s="33">
        <f>IF(AQ88="2",BH88,0)</f>
        <v>0</v>
      </c>
      <c r="AG88" s="33">
        <f>IF(AQ88="2",BI88,0)</f>
        <v>0</v>
      </c>
      <c r="AH88" s="33">
        <f>IF(AQ88="0",BJ88,0)</f>
        <v>0</v>
      </c>
      <c r="AI88" s="21" t="s">
        <v>421</v>
      </c>
      <c r="AJ88" s="33">
        <f>IF(AN88=0,J88,0)</f>
        <v>0</v>
      </c>
      <c r="AK88" s="33">
        <f>IF(AN88=15,J88,0)</f>
        <v>0</v>
      </c>
      <c r="AL88" s="33">
        <f>IF(AN88=21,J88,0)</f>
        <v>0</v>
      </c>
      <c r="AN88" s="33">
        <v>21</v>
      </c>
      <c r="AO88" s="33">
        <f>G88*0</f>
        <v>0</v>
      </c>
      <c r="AP88" s="33">
        <f>G88*(1-0)</f>
        <v>0</v>
      </c>
      <c r="AQ88" s="51" t="s">
        <v>578</v>
      </c>
      <c r="AV88" s="33">
        <f>AW88+AX88</f>
        <v>0</v>
      </c>
      <c r="AW88" s="33">
        <f>F88*AO88</f>
        <v>0</v>
      </c>
      <c r="AX88" s="33">
        <f>F88*AP88</f>
        <v>0</v>
      </c>
      <c r="AY88" s="51" t="s">
        <v>124</v>
      </c>
      <c r="AZ88" s="51" t="s">
        <v>65</v>
      </c>
      <c r="BA88" s="21" t="s">
        <v>457</v>
      </c>
      <c r="BC88" s="33">
        <f>AW88+AX88</f>
        <v>0</v>
      </c>
      <c r="BD88" s="33">
        <f>G88/(100-BE88)*100</f>
        <v>0</v>
      </c>
      <c r="BE88" s="33">
        <v>0</v>
      </c>
      <c r="BF88" s="33">
        <f>88</f>
        <v>88</v>
      </c>
      <c r="BH88" s="33">
        <f>F88*AO88</f>
        <v>0</v>
      </c>
      <c r="BI88" s="33">
        <f>F88*AP88</f>
        <v>0</v>
      </c>
      <c r="BJ88" s="33">
        <f>F88*G88</f>
        <v>0</v>
      </c>
      <c r="BK88" s="33"/>
      <c r="BL88" s="33">
        <v>17</v>
      </c>
      <c r="BW88" s="33">
        <v>21</v>
      </c>
    </row>
    <row r="89" spans="1:75" ht="15" customHeight="1">
      <c r="A89" s="45"/>
      <c r="C89" s="13" t="s">
        <v>115</v>
      </c>
      <c r="D89" s="13" t="s">
        <v>421</v>
      </c>
      <c r="F89" s="49">
        <v>201.17300000000003</v>
      </c>
      <c r="K89" s="7"/>
    </row>
    <row r="90" spans="1:75" ht="15" customHeight="1">
      <c r="A90" s="45"/>
      <c r="C90" s="13" t="s">
        <v>602</v>
      </c>
      <c r="D90" s="13" t="s">
        <v>421</v>
      </c>
      <c r="F90" s="49">
        <v>-20.685000000000002</v>
      </c>
      <c r="K90" s="7"/>
    </row>
    <row r="91" spans="1:75" ht="15" customHeight="1">
      <c r="A91" s="45"/>
      <c r="C91" s="13" t="s">
        <v>454</v>
      </c>
      <c r="D91" s="13" t="s">
        <v>421</v>
      </c>
      <c r="F91" s="49">
        <v>-58.554270000000002</v>
      </c>
      <c r="K91" s="7"/>
    </row>
    <row r="92" spans="1:75" ht="13.5" customHeight="1">
      <c r="A92" s="2" t="s">
        <v>355</v>
      </c>
      <c r="B92" s="5" t="s">
        <v>186</v>
      </c>
      <c r="C92" s="66" t="s">
        <v>411</v>
      </c>
      <c r="D92" s="63"/>
      <c r="E92" s="5" t="s">
        <v>562</v>
      </c>
      <c r="F92" s="33">
        <v>172.43326999999999</v>
      </c>
      <c r="G92" s="33">
        <v>0</v>
      </c>
      <c r="H92" s="33">
        <f>F92*AO92</f>
        <v>0</v>
      </c>
      <c r="I92" s="33">
        <f>F92*AP92</f>
        <v>0</v>
      </c>
      <c r="J92" s="33">
        <f>F92*G92</f>
        <v>0</v>
      </c>
      <c r="K92" s="6" t="s">
        <v>416</v>
      </c>
      <c r="Z92" s="33">
        <f>IF(AQ92="5",BJ92,0)</f>
        <v>0</v>
      </c>
      <c r="AB92" s="33">
        <f>IF(AQ92="1",BH92,0)</f>
        <v>0</v>
      </c>
      <c r="AC92" s="33">
        <f>IF(AQ92="1",BI92,0)</f>
        <v>0</v>
      </c>
      <c r="AD92" s="33">
        <f>IF(AQ92="7",BH92,0)</f>
        <v>0</v>
      </c>
      <c r="AE92" s="33">
        <f>IF(AQ92="7",BI92,0)</f>
        <v>0</v>
      </c>
      <c r="AF92" s="33">
        <f>IF(AQ92="2",BH92,0)</f>
        <v>0</v>
      </c>
      <c r="AG92" s="33">
        <f>IF(AQ92="2",BI92,0)</f>
        <v>0</v>
      </c>
      <c r="AH92" s="33">
        <f>IF(AQ92="0",BJ92,0)</f>
        <v>0</v>
      </c>
      <c r="AI92" s="21" t="s">
        <v>421</v>
      </c>
      <c r="AJ92" s="33">
        <f>IF(AN92=0,J92,0)</f>
        <v>0</v>
      </c>
      <c r="AK92" s="33">
        <f>IF(AN92=15,J92,0)</f>
        <v>0</v>
      </c>
      <c r="AL92" s="33">
        <f>IF(AN92=21,J92,0)</f>
        <v>0</v>
      </c>
      <c r="AN92" s="33">
        <v>21</v>
      </c>
      <c r="AO92" s="33">
        <f>G92*0</f>
        <v>0</v>
      </c>
      <c r="AP92" s="33">
        <f>G92*(1-0)</f>
        <v>0</v>
      </c>
      <c r="AQ92" s="51" t="s">
        <v>578</v>
      </c>
      <c r="AV92" s="33">
        <f>AW92+AX92</f>
        <v>0</v>
      </c>
      <c r="AW92" s="33">
        <f>F92*AO92</f>
        <v>0</v>
      </c>
      <c r="AX92" s="33">
        <f>F92*AP92</f>
        <v>0</v>
      </c>
      <c r="AY92" s="51" t="s">
        <v>124</v>
      </c>
      <c r="AZ92" s="51" t="s">
        <v>65</v>
      </c>
      <c r="BA92" s="21" t="s">
        <v>457</v>
      </c>
      <c r="BC92" s="33">
        <f>AW92+AX92</f>
        <v>0</v>
      </c>
      <c r="BD92" s="33">
        <f>G92/(100-BE92)*100</f>
        <v>0</v>
      </c>
      <c r="BE92" s="33">
        <v>0</v>
      </c>
      <c r="BF92" s="33">
        <f>92</f>
        <v>92</v>
      </c>
      <c r="BH92" s="33">
        <f>F92*AO92</f>
        <v>0</v>
      </c>
      <c r="BI92" s="33">
        <f>F92*AP92</f>
        <v>0</v>
      </c>
      <c r="BJ92" s="33">
        <f>F92*G92</f>
        <v>0</v>
      </c>
      <c r="BK92" s="33"/>
      <c r="BL92" s="33">
        <v>17</v>
      </c>
      <c r="BW92" s="33">
        <v>21</v>
      </c>
    </row>
    <row r="93" spans="1:75" ht="15" customHeight="1">
      <c r="A93" s="45"/>
      <c r="C93" s="13" t="s">
        <v>239</v>
      </c>
      <c r="D93" s="13" t="s">
        <v>421</v>
      </c>
      <c r="F93" s="49">
        <v>172.43327000000002</v>
      </c>
      <c r="K93" s="7"/>
    </row>
    <row r="94" spans="1:75" ht="13.5" customHeight="1">
      <c r="A94" s="2" t="s">
        <v>499</v>
      </c>
      <c r="B94" s="5" t="s">
        <v>186</v>
      </c>
      <c r="C94" s="66" t="s">
        <v>567</v>
      </c>
      <c r="D94" s="63"/>
      <c r="E94" s="5" t="s">
        <v>562</v>
      </c>
      <c r="F94" s="33">
        <v>106.88363</v>
      </c>
      <c r="G94" s="33">
        <v>0</v>
      </c>
      <c r="H94" s="33">
        <f>F94*AO94</f>
        <v>0</v>
      </c>
      <c r="I94" s="33">
        <f>F94*AP94</f>
        <v>0</v>
      </c>
      <c r="J94" s="33">
        <f>F94*G94</f>
        <v>0</v>
      </c>
      <c r="K94" s="6" t="s">
        <v>416</v>
      </c>
      <c r="Z94" s="33">
        <f>IF(AQ94="5",BJ94,0)</f>
        <v>0</v>
      </c>
      <c r="AB94" s="33">
        <f>IF(AQ94="1",BH94,0)</f>
        <v>0</v>
      </c>
      <c r="AC94" s="33">
        <f>IF(AQ94="1",BI94,0)</f>
        <v>0</v>
      </c>
      <c r="AD94" s="33">
        <f>IF(AQ94="7",BH94,0)</f>
        <v>0</v>
      </c>
      <c r="AE94" s="33">
        <f>IF(AQ94="7",BI94,0)</f>
        <v>0</v>
      </c>
      <c r="AF94" s="33">
        <f>IF(AQ94="2",BH94,0)</f>
        <v>0</v>
      </c>
      <c r="AG94" s="33">
        <f>IF(AQ94="2",BI94,0)</f>
        <v>0</v>
      </c>
      <c r="AH94" s="33">
        <f>IF(AQ94="0",BJ94,0)</f>
        <v>0</v>
      </c>
      <c r="AI94" s="21" t="s">
        <v>421</v>
      </c>
      <c r="AJ94" s="33">
        <f>IF(AN94=0,J94,0)</f>
        <v>0</v>
      </c>
      <c r="AK94" s="33">
        <f>IF(AN94=15,J94,0)</f>
        <v>0</v>
      </c>
      <c r="AL94" s="33">
        <f>IF(AN94=21,J94,0)</f>
        <v>0</v>
      </c>
      <c r="AN94" s="33">
        <v>21</v>
      </c>
      <c r="AO94" s="33">
        <f>G94*0</f>
        <v>0</v>
      </c>
      <c r="AP94" s="33">
        <f>G94*(1-0)</f>
        <v>0</v>
      </c>
      <c r="AQ94" s="51" t="s">
        <v>578</v>
      </c>
      <c r="AV94" s="33">
        <f>AW94+AX94</f>
        <v>0</v>
      </c>
      <c r="AW94" s="33">
        <f>F94*AO94</f>
        <v>0</v>
      </c>
      <c r="AX94" s="33">
        <f>F94*AP94</f>
        <v>0</v>
      </c>
      <c r="AY94" s="51" t="s">
        <v>124</v>
      </c>
      <c r="AZ94" s="51" t="s">
        <v>65</v>
      </c>
      <c r="BA94" s="21" t="s">
        <v>457</v>
      </c>
      <c r="BC94" s="33">
        <f>AW94+AX94</f>
        <v>0</v>
      </c>
      <c r="BD94" s="33">
        <f>G94/(100-BE94)*100</f>
        <v>0</v>
      </c>
      <c r="BE94" s="33">
        <v>0</v>
      </c>
      <c r="BF94" s="33">
        <f>94</f>
        <v>94</v>
      </c>
      <c r="BH94" s="33">
        <f>F94*AO94</f>
        <v>0</v>
      </c>
      <c r="BI94" s="33">
        <f>F94*AP94</f>
        <v>0</v>
      </c>
      <c r="BJ94" s="33">
        <f>F94*G94</f>
        <v>0</v>
      </c>
      <c r="BK94" s="33"/>
      <c r="BL94" s="33">
        <v>17</v>
      </c>
      <c r="BW94" s="33">
        <v>21</v>
      </c>
    </row>
    <row r="95" spans="1:75" ht="15" customHeight="1">
      <c r="A95" s="45"/>
      <c r="C95" s="13" t="s">
        <v>175</v>
      </c>
      <c r="D95" s="13" t="s">
        <v>421</v>
      </c>
      <c r="F95" s="49">
        <v>106.88363000000001</v>
      </c>
      <c r="K95" s="7"/>
    </row>
    <row r="96" spans="1:75" ht="13.5" customHeight="1">
      <c r="A96" s="2" t="s">
        <v>128</v>
      </c>
      <c r="B96" s="5" t="s">
        <v>415</v>
      </c>
      <c r="C96" s="66" t="s">
        <v>631</v>
      </c>
      <c r="D96" s="63"/>
      <c r="E96" s="5" t="s">
        <v>562</v>
      </c>
      <c r="F96" s="33">
        <v>106.88363</v>
      </c>
      <c r="G96" s="33">
        <v>0</v>
      </c>
      <c r="H96" s="33">
        <f>F96*AO96</f>
        <v>0</v>
      </c>
      <c r="I96" s="33">
        <f>F96*AP96</f>
        <v>0</v>
      </c>
      <c r="J96" s="33">
        <f>F96*G96</f>
        <v>0</v>
      </c>
      <c r="K96" s="6" t="s">
        <v>416</v>
      </c>
      <c r="Z96" s="33">
        <f>IF(AQ96="5",BJ96,0)</f>
        <v>0</v>
      </c>
      <c r="AB96" s="33">
        <f>IF(AQ96="1",BH96,0)</f>
        <v>0</v>
      </c>
      <c r="AC96" s="33">
        <f>IF(AQ96="1",BI96,0)</f>
        <v>0</v>
      </c>
      <c r="AD96" s="33">
        <f>IF(AQ96="7",BH96,0)</f>
        <v>0</v>
      </c>
      <c r="AE96" s="33">
        <f>IF(AQ96="7",BI96,0)</f>
        <v>0</v>
      </c>
      <c r="AF96" s="33">
        <f>IF(AQ96="2",BH96,0)</f>
        <v>0</v>
      </c>
      <c r="AG96" s="33">
        <f>IF(AQ96="2",BI96,0)</f>
        <v>0</v>
      </c>
      <c r="AH96" s="33">
        <f>IF(AQ96="0",BJ96,0)</f>
        <v>0</v>
      </c>
      <c r="AI96" s="21" t="s">
        <v>421</v>
      </c>
      <c r="AJ96" s="33">
        <f>IF(AN96=0,J96,0)</f>
        <v>0</v>
      </c>
      <c r="AK96" s="33">
        <f>IF(AN96=15,J96,0)</f>
        <v>0</v>
      </c>
      <c r="AL96" s="33">
        <f>IF(AN96=21,J96,0)</f>
        <v>0</v>
      </c>
      <c r="AN96" s="33">
        <v>21</v>
      </c>
      <c r="AO96" s="33">
        <f>G96*0</f>
        <v>0</v>
      </c>
      <c r="AP96" s="33">
        <f>G96*(1-0)</f>
        <v>0</v>
      </c>
      <c r="AQ96" s="51" t="s">
        <v>578</v>
      </c>
      <c r="AV96" s="33">
        <f>AW96+AX96</f>
        <v>0</v>
      </c>
      <c r="AW96" s="33">
        <f>F96*AO96</f>
        <v>0</v>
      </c>
      <c r="AX96" s="33">
        <f>F96*AP96</f>
        <v>0</v>
      </c>
      <c r="AY96" s="51" t="s">
        <v>124</v>
      </c>
      <c r="AZ96" s="51" t="s">
        <v>65</v>
      </c>
      <c r="BA96" s="21" t="s">
        <v>457</v>
      </c>
      <c r="BC96" s="33">
        <f>AW96+AX96</f>
        <v>0</v>
      </c>
      <c r="BD96" s="33">
        <f>G96/(100-BE96)*100</f>
        <v>0</v>
      </c>
      <c r="BE96" s="33">
        <v>0</v>
      </c>
      <c r="BF96" s="33">
        <f>96</f>
        <v>96</v>
      </c>
      <c r="BH96" s="33">
        <f>F96*AO96</f>
        <v>0</v>
      </c>
      <c r="BI96" s="33">
        <f>F96*AP96</f>
        <v>0</v>
      </c>
      <c r="BJ96" s="33">
        <f>F96*G96</f>
        <v>0</v>
      </c>
      <c r="BK96" s="33"/>
      <c r="BL96" s="33">
        <v>17</v>
      </c>
      <c r="BW96" s="33">
        <v>21</v>
      </c>
    </row>
    <row r="97" spans="1:75" ht="15" customHeight="1">
      <c r="A97" s="45"/>
      <c r="C97" s="13" t="s">
        <v>628</v>
      </c>
      <c r="D97" s="13" t="s">
        <v>421</v>
      </c>
      <c r="F97" s="49">
        <v>106.88363000000001</v>
      </c>
      <c r="K97" s="7"/>
    </row>
    <row r="98" spans="1:75" ht="15" customHeight="1">
      <c r="A98" s="54" t="s">
        <v>421</v>
      </c>
      <c r="B98" s="22" t="s">
        <v>430</v>
      </c>
      <c r="C98" s="79" t="s">
        <v>203</v>
      </c>
      <c r="D98" s="80"/>
      <c r="E98" s="3" t="s">
        <v>544</v>
      </c>
      <c r="F98" s="3" t="s">
        <v>544</v>
      </c>
      <c r="G98" s="3" t="s">
        <v>544</v>
      </c>
      <c r="H98" s="35">
        <f>SUM(H99:H99)</f>
        <v>0</v>
      </c>
      <c r="I98" s="35">
        <f>SUM(I99:I99)</f>
        <v>0</v>
      </c>
      <c r="J98" s="35">
        <f>SUM(J99:J99)</f>
        <v>0</v>
      </c>
      <c r="K98" s="16" t="s">
        <v>421</v>
      </c>
      <c r="AI98" s="21" t="s">
        <v>421</v>
      </c>
      <c r="AS98" s="35">
        <f>SUM(AJ99:AJ99)</f>
        <v>0</v>
      </c>
      <c r="AT98" s="35">
        <f>SUM(AK99:AK99)</f>
        <v>0</v>
      </c>
      <c r="AU98" s="35">
        <f>SUM(AL99:AL99)</f>
        <v>0</v>
      </c>
    </row>
    <row r="99" spans="1:75" ht="13.5" customHeight="1">
      <c r="A99" s="2" t="s">
        <v>650</v>
      </c>
      <c r="B99" s="5" t="s">
        <v>496</v>
      </c>
      <c r="C99" s="66" t="s">
        <v>515</v>
      </c>
      <c r="D99" s="63"/>
      <c r="E99" s="5" t="s">
        <v>562</v>
      </c>
      <c r="F99" s="33">
        <v>12.411</v>
      </c>
      <c r="G99" s="33">
        <v>0</v>
      </c>
      <c r="H99" s="33">
        <f>F99*AO99</f>
        <v>0</v>
      </c>
      <c r="I99" s="33">
        <f>F99*AP99</f>
        <v>0</v>
      </c>
      <c r="J99" s="33">
        <f>F99*G99</f>
        <v>0</v>
      </c>
      <c r="K99" s="6" t="s">
        <v>416</v>
      </c>
      <c r="Z99" s="33">
        <f>IF(AQ99="5",BJ99,0)</f>
        <v>0</v>
      </c>
      <c r="AB99" s="33">
        <f>IF(AQ99="1",BH99,0)</f>
        <v>0</v>
      </c>
      <c r="AC99" s="33">
        <f>IF(AQ99="1",BI99,0)</f>
        <v>0</v>
      </c>
      <c r="AD99" s="33">
        <f>IF(AQ99="7",BH99,0)</f>
        <v>0</v>
      </c>
      <c r="AE99" s="33">
        <f>IF(AQ99="7",BI99,0)</f>
        <v>0</v>
      </c>
      <c r="AF99" s="33">
        <f>IF(AQ99="2",BH99,0)</f>
        <v>0</v>
      </c>
      <c r="AG99" s="33">
        <f>IF(AQ99="2",BI99,0)</f>
        <v>0</v>
      </c>
      <c r="AH99" s="33">
        <f>IF(AQ99="0",BJ99,0)</f>
        <v>0</v>
      </c>
      <c r="AI99" s="21" t="s">
        <v>421</v>
      </c>
      <c r="AJ99" s="33">
        <f>IF(AN99=0,J99,0)</f>
        <v>0</v>
      </c>
      <c r="AK99" s="33">
        <f>IF(AN99=15,J99,0)</f>
        <v>0</v>
      </c>
      <c r="AL99" s="33">
        <f>IF(AN99=21,J99,0)</f>
        <v>0</v>
      </c>
      <c r="AN99" s="33">
        <v>21</v>
      </c>
      <c r="AO99" s="33">
        <f>G99*0.557458043757697</f>
        <v>0</v>
      </c>
      <c r="AP99" s="33">
        <f>G99*(1-0.557458043757697)</f>
        <v>0</v>
      </c>
      <c r="AQ99" s="51" t="s">
        <v>578</v>
      </c>
      <c r="AV99" s="33">
        <f>AW99+AX99</f>
        <v>0</v>
      </c>
      <c r="AW99" s="33">
        <f>F99*AO99</f>
        <v>0</v>
      </c>
      <c r="AX99" s="33">
        <f>F99*AP99</f>
        <v>0</v>
      </c>
      <c r="AY99" s="51" t="s">
        <v>369</v>
      </c>
      <c r="AZ99" s="51" t="s">
        <v>91</v>
      </c>
      <c r="BA99" s="21" t="s">
        <v>457</v>
      </c>
      <c r="BC99" s="33">
        <f>AW99+AX99</f>
        <v>0</v>
      </c>
      <c r="BD99" s="33">
        <f>G99/(100-BE99)*100</f>
        <v>0</v>
      </c>
      <c r="BE99" s="33">
        <v>0</v>
      </c>
      <c r="BF99" s="33">
        <f>99</f>
        <v>99</v>
      </c>
      <c r="BH99" s="33">
        <f>F99*AO99</f>
        <v>0</v>
      </c>
      <c r="BI99" s="33">
        <f>F99*AP99</f>
        <v>0</v>
      </c>
      <c r="BJ99" s="33">
        <f>F99*G99</f>
        <v>0</v>
      </c>
      <c r="BK99" s="33"/>
      <c r="BL99" s="33">
        <v>21</v>
      </c>
      <c r="BW99" s="33">
        <v>21</v>
      </c>
    </row>
    <row r="100" spans="1:75" ht="15" customHeight="1">
      <c r="A100" s="45"/>
      <c r="C100" s="13" t="s">
        <v>263</v>
      </c>
      <c r="D100" s="13" t="s">
        <v>421</v>
      </c>
      <c r="F100" s="49">
        <v>12.411000000000001</v>
      </c>
      <c r="K100" s="7"/>
    </row>
    <row r="101" spans="1:75" ht="15" customHeight="1">
      <c r="A101" s="54" t="s">
        <v>421</v>
      </c>
      <c r="B101" s="22" t="s">
        <v>568</v>
      </c>
      <c r="C101" s="79" t="s">
        <v>488</v>
      </c>
      <c r="D101" s="80"/>
      <c r="E101" s="3" t="s">
        <v>544</v>
      </c>
      <c r="F101" s="3" t="s">
        <v>544</v>
      </c>
      <c r="G101" s="3" t="s">
        <v>544</v>
      </c>
      <c r="H101" s="35">
        <f>SUM(H102:H108)</f>
        <v>0</v>
      </c>
      <c r="I101" s="35">
        <f>SUM(I102:I108)</f>
        <v>0</v>
      </c>
      <c r="J101" s="35">
        <f>SUM(J102:J108)</f>
        <v>0</v>
      </c>
      <c r="K101" s="16" t="s">
        <v>421</v>
      </c>
      <c r="AI101" s="21" t="s">
        <v>421</v>
      </c>
      <c r="AS101" s="35">
        <f>SUM(AJ102:AJ108)</f>
        <v>0</v>
      </c>
      <c r="AT101" s="35">
        <f>SUM(AK102:AK108)</f>
        <v>0</v>
      </c>
      <c r="AU101" s="35">
        <f>SUM(AL102:AL108)</f>
        <v>0</v>
      </c>
    </row>
    <row r="102" spans="1:75" ht="13.5" customHeight="1">
      <c r="A102" s="2" t="s">
        <v>524</v>
      </c>
      <c r="B102" s="5" t="s">
        <v>240</v>
      </c>
      <c r="C102" s="66" t="s">
        <v>367</v>
      </c>
      <c r="D102" s="63"/>
      <c r="E102" s="5" t="s">
        <v>562</v>
      </c>
      <c r="F102" s="33">
        <v>1.8134999999999999</v>
      </c>
      <c r="G102" s="33">
        <v>0</v>
      </c>
      <c r="H102" s="33">
        <f>F102*AO102</f>
        <v>0</v>
      </c>
      <c r="I102" s="33">
        <f>F102*AP102</f>
        <v>0</v>
      </c>
      <c r="J102" s="33">
        <f>F102*G102</f>
        <v>0</v>
      </c>
      <c r="K102" s="6" t="s">
        <v>416</v>
      </c>
      <c r="Z102" s="33">
        <f>IF(AQ102="5",BJ102,0)</f>
        <v>0</v>
      </c>
      <c r="AB102" s="33">
        <f>IF(AQ102="1",BH102,0)</f>
        <v>0</v>
      </c>
      <c r="AC102" s="33">
        <f>IF(AQ102="1",BI102,0)</f>
        <v>0</v>
      </c>
      <c r="AD102" s="33">
        <f>IF(AQ102="7",BH102,0)</f>
        <v>0</v>
      </c>
      <c r="AE102" s="33">
        <f>IF(AQ102="7",BI102,0)</f>
        <v>0</v>
      </c>
      <c r="AF102" s="33">
        <f>IF(AQ102="2",BH102,0)</f>
        <v>0</v>
      </c>
      <c r="AG102" s="33">
        <f>IF(AQ102="2",BI102,0)</f>
        <v>0</v>
      </c>
      <c r="AH102" s="33">
        <f>IF(AQ102="0",BJ102,0)</f>
        <v>0</v>
      </c>
      <c r="AI102" s="21" t="s">
        <v>421</v>
      </c>
      <c r="AJ102" s="33">
        <f>IF(AN102=0,J102,0)</f>
        <v>0</v>
      </c>
      <c r="AK102" s="33">
        <f>IF(AN102=15,J102,0)</f>
        <v>0</v>
      </c>
      <c r="AL102" s="33">
        <f>IF(AN102=21,J102,0)</f>
        <v>0</v>
      </c>
      <c r="AN102" s="33">
        <v>21</v>
      </c>
      <c r="AO102" s="33">
        <f>G102*0.896032258064516</f>
        <v>0</v>
      </c>
      <c r="AP102" s="33">
        <f>G102*(1-0.896032258064516)</f>
        <v>0</v>
      </c>
      <c r="AQ102" s="51" t="s">
        <v>578</v>
      </c>
      <c r="AV102" s="33">
        <f>AW102+AX102</f>
        <v>0</v>
      </c>
      <c r="AW102" s="33">
        <f>F102*AO102</f>
        <v>0</v>
      </c>
      <c r="AX102" s="33">
        <f>F102*AP102</f>
        <v>0</v>
      </c>
      <c r="AY102" s="51" t="s">
        <v>418</v>
      </c>
      <c r="AZ102" s="51" t="s">
        <v>91</v>
      </c>
      <c r="BA102" s="21" t="s">
        <v>457</v>
      </c>
      <c r="BC102" s="33">
        <f>AW102+AX102</f>
        <v>0</v>
      </c>
      <c r="BD102" s="33">
        <f>G102/(100-BE102)*100</f>
        <v>0</v>
      </c>
      <c r="BE102" s="33">
        <v>0</v>
      </c>
      <c r="BF102" s="33">
        <f>102</f>
        <v>102</v>
      </c>
      <c r="BH102" s="33">
        <f>F102*AO102</f>
        <v>0</v>
      </c>
      <c r="BI102" s="33">
        <f>F102*AP102</f>
        <v>0</v>
      </c>
      <c r="BJ102" s="33">
        <f>F102*G102</f>
        <v>0</v>
      </c>
      <c r="BK102" s="33"/>
      <c r="BL102" s="33">
        <v>27</v>
      </c>
      <c r="BW102" s="33">
        <v>21</v>
      </c>
    </row>
    <row r="103" spans="1:75" ht="15" customHeight="1">
      <c r="A103" s="45"/>
      <c r="C103" s="13" t="s">
        <v>284</v>
      </c>
      <c r="D103" s="13" t="s">
        <v>421</v>
      </c>
      <c r="F103" s="49">
        <v>1.8135000000000001</v>
      </c>
      <c r="K103" s="7"/>
    </row>
    <row r="104" spans="1:75" ht="13.5" customHeight="1">
      <c r="A104" s="2" t="s">
        <v>351</v>
      </c>
      <c r="B104" s="5" t="s">
        <v>539</v>
      </c>
      <c r="C104" s="66" t="s">
        <v>510</v>
      </c>
      <c r="D104" s="63"/>
      <c r="E104" s="5" t="s">
        <v>571</v>
      </c>
      <c r="F104" s="33">
        <v>2.1</v>
      </c>
      <c r="G104" s="33">
        <v>0</v>
      </c>
      <c r="H104" s="33">
        <f>F104*AO104</f>
        <v>0</v>
      </c>
      <c r="I104" s="33">
        <f>F104*AP104</f>
        <v>0</v>
      </c>
      <c r="J104" s="33">
        <f>F104*G104</f>
        <v>0</v>
      </c>
      <c r="K104" s="6" t="s">
        <v>416</v>
      </c>
      <c r="Z104" s="33">
        <f>IF(AQ104="5",BJ104,0)</f>
        <v>0</v>
      </c>
      <c r="AB104" s="33">
        <f>IF(AQ104="1",BH104,0)</f>
        <v>0</v>
      </c>
      <c r="AC104" s="33">
        <f>IF(AQ104="1",BI104,0)</f>
        <v>0</v>
      </c>
      <c r="AD104" s="33">
        <f>IF(AQ104="7",BH104,0)</f>
        <v>0</v>
      </c>
      <c r="AE104" s="33">
        <f>IF(AQ104="7",BI104,0)</f>
        <v>0</v>
      </c>
      <c r="AF104" s="33">
        <f>IF(AQ104="2",BH104,0)</f>
        <v>0</v>
      </c>
      <c r="AG104" s="33">
        <f>IF(AQ104="2",BI104,0)</f>
        <v>0</v>
      </c>
      <c r="AH104" s="33">
        <f>IF(AQ104="0",BJ104,0)</f>
        <v>0</v>
      </c>
      <c r="AI104" s="21" t="s">
        <v>421</v>
      </c>
      <c r="AJ104" s="33">
        <f>IF(AN104=0,J104,0)</f>
        <v>0</v>
      </c>
      <c r="AK104" s="33">
        <f>IF(AN104=15,J104,0)</f>
        <v>0</v>
      </c>
      <c r="AL104" s="33">
        <f>IF(AN104=21,J104,0)</f>
        <v>0</v>
      </c>
      <c r="AN104" s="33">
        <v>21</v>
      </c>
      <c r="AO104" s="33">
        <f>G104*0.256722338204593</f>
        <v>0</v>
      </c>
      <c r="AP104" s="33">
        <f>G104*(1-0.256722338204593)</f>
        <v>0</v>
      </c>
      <c r="AQ104" s="51" t="s">
        <v>578</v>
      </c>
      <c r="AV104" s="33">
        <f>AW104+AX104</f>
        <v>0</v>
      </c>
      <c r="AW104" s="33">
        <f>F104*AO104</f>
        <v>0</v>
      </c>
      <c r="AX104" s="33">
        <f>F104*AP104</f>
        <v>0</v>
      </c>
      <c r="AY104" s="51" t="s">
        <v>418</v>
      </c>
      <c r="AZ104" s="51" t="s">
        <v>91</v>
      </c>
      <c r="BA104" s="21" t="s">
        <v>457</v>
      </c>
      <c r="BC104" s="33">
        <f>AW104+AX104</f>
        <v>0</v>
      </c>
      <c r="BD104" s="33">
        <f>G104/(100-BE104)*100</f>
        <v>0</v>
      </c>
      <c r="BE104" s="33">
        <v>0</v>
      </c>
      <c r="BF104" s="33">
        <f>104</f>
        <v>104</v>
      </c>
      <c r="BH104" s="33">
        <f>F104*AO104</f>
        <v>0</v>
      </c>
      <c r="BI104" s="33">
        <f>F104*AP104</f>
        <v>0</v>
      </c>
      <c r="BJ104" s="33">
        <f>F104*G104</f>
        <v>0</v>
      </c>
      <c r="BK104" s="33"/>
      <c r="BL104" s="33">
        <v>27</v>
      </c>
      <c r="BW104" s="33">
        <v>21</v>
      </c>
    </row>
    <row r="105" spans="1:75" ht="15" customHeight="1">
      <c r="A105" s="45"/>
      <c r="C105" s="13" t="s">
        <v>447</v>
      </c>
      <c r="D105" s="13" t="s">
        <v>421</v>
      </c>
      <c r="F105" s="49">
        <v>2.1</v>
      </c>
      <c r="K105" s="7"/>
    </row>
    <row r="106" spans="1:75" ht="13.5" customHeight="1">
      <c r="A106" s="2" t="s">
        <v>569</v>
      </c>
      <c r="B106" s="5" t="s">
        <v>166</v>
      </c>
      <c r="C106" s="66" t="s">
        <v>437</v>
      </c>
      <c r="D106" s="63"/>
      <c r="E106" s="5" t="s">
        <v>571</v>
      </c>
      <c r="F106" s="33">
        <v>2.1</v>
      </c>
      <c r="G106" s="33">
        <v>0</v>
      </c>
      <c r="H106" s="33">
        <f>F106*AO106</f>
        <v>0</v>
      </c>
      <c r="I106" s="33">
        <f>F106*AP106</f>
        <v>0</v>
      </c>
      <c r="J106" s="33">
        <f>F106*G106</f>
        <v>0</v>
      </c>
      <c r="K106" s="6" t="s">
        <v>416</v>
      </c>
      <c r="Z106" s="33">
        <f>IF(AQ106="5",BJ106,0)</f>
        <v>0</v>
      </c>
      <c r="AB106" s="33">
        <f>IF(AQ106="1",BH106,0)</f>
        <v>0</v>
      </c>
      <c r="AC106" s="33">
        <f>IF(AQ106="1",BI106,0)</f>
        <v>0</v>
      </c>
      <c r="AD106" s="33">
        <f>IF(AQ106="7",BH106,0)</f>
        <v>0</v>
      </c>
      <c r="AE106" s="33">
        <f>IF(AQ106="7",BI106,0)</f>
        <v>0</v>
      </c>
      <c r="AF106" s="33">
        <f>IF(AQ106="2",BH106,0)</f>
        <v>0</v>
      </c>
      <c r="AG106" s="33">
        <f>IF(AQ106="2",BI106,0)</f>
        <v>0</v>
      </c>
      <c r="AH106" s="33">
        <f>IF(AQ106="0",BJ106,0)</f>
        <v>0</v>
      </c>
      <c r="AI106" s="21" t="s">
        <v>421</v>
      </c>
      <c r="AJ106" s="33">
        <f>IF(AN106=0,J106,0)</f>
        <v>0</v>
      </c>
      <c r="AK106" s="33">
        <f>IF(AN106=15,J106,0)</f>
        <v>0</v>
      </c>
      <c r="AL106" s="33">
        <f>IF(AN106=21,J106,0)</f>
        <v>0</v>
      </c>
      <c r="AN106" s="33">
        <v>21</v>
      </c>
      <c r="AO106" s="33">
        <f>G106*0</f>
        <v>0</v>
      </c>
      <c r="AP106" s="33">
        <f>G106*(1-0)</f>
        <v>0</v>
      </c>
      <c r="AQ106" s="51" t="s">
        <v>578</v>
      </c>
      <c r="AV106" s="33">
        <f>AW106+AX106</f>
        <v>0</v>
      </c>
      <c r="AW106" s="33">
        <f>F106*AO106</f>
        <v>0</v>
      </c>
      <c r="AX106" s="33">
        <f>F106*AP106</f>
        <v>0</v>
      </c>
      <c r="AY106" s="51" t="s">
        <v>418</v>
      </c>
      <c r="AZ106" s="51" t="s">
        <v>91</v>
      </c>
      <c r="BA106" s="21" t="s">
        <v>457</v>
      </c>
      <c r="BC106" s="33">
        <f>AW106+AX106</f>
        <v>0</v>
      </c>
      <c r="BD106" s="33">
        <f>G106/(100-BE106)*100</f>
        <v>0</v>
      </c>
      <c r="BE106" s="33">
        <v>0</v>
      </c>
      <c r="BF106" s="33">
        <f>106</f>
        <v>106</v>
      </c>
      <c r="BH106" s="33">
        <f>F106*AO106</f>
        <v>0</v>
      </c>
      <c r="BI106" s="33">
        <f>F106*AP106</f>
        <v>0</v>
      </c>
      <c r="BJ106" s="33">
        <f>F106*G106</f>
        <v>0</v>
      </c>
      <c r="BK106" s="33"/>
      <c r="BL106" s="33">
        <v>27</v>
      </c>
      <c r="BW106" s="33">
        <v>21</v>
      </c>
    </row>
    <row r="107" spans="1:75" ht="15" customHeight="1">
      <c r="A107" s="45"/>
      <c r="C107" s="13" t="s">
        <v>478</v>
      </c>
      <c r="D107" s="13" t="s">
        <v>421</v>
      </c>
      <c r="F107" s="49">
        <v>2.1</v>
      </c>
      <c r="K107" s="7"/>
    </row>
    <row r="108" spans="1:75" ht="13.5" customHeight="1">
      <c r="A108" s="2" t="s">
        <v>362</v>
      </c>
      <c r="B108" s="5" t="s">
        <v>653</v>
      </c>
      <c r="C108" s="66" t="s">
        <v>114</v>
      </c>
      <c r="D108" s="63"/>
      <c r="E108" s="5" t="s">
        <v>286</v>
      </c>
      <c r="F108" s="33">
        <v>9.672E-2</v>
      </c>
      <c r="G108" s="33">
        <v>0</v>
      </c>
      <c r="H108" s="33">
        <f>F108*AO108</f>
        <v>0</v>
      </c>
      <c r="I108" s="33">
        <f>F108*AP108</f>
        <v>0</v>
      </c>
      <c r="J108" s="33">
        <f>F108*G108</f>
        <v>0</v>
      </c>
      <c r="K108" s="6" t="s">
        <v>416</v>
      </c>
      <c r="Z108" s="33">
        <f>IF(AQ108="5",BJ108,0)</f>
        <v>0</v>
      </c>
      <c r="AB108" s="33">
        <f>IF(AQ108="1",BH108,0)</f>
        <v>0</v>
      </c>
      <c r="AC108" s="33">
        <f>IF(AQ108="1",BI108,0)</f>
        <v>0</v>
      </c>
      <c r="AD108" s="33">
        <f>IF(AQ108="7",BH108,0)</f>
        <v>0</v>
      </c>
      <c r="AE108" s="33">
        <f>IF(AQ108="7",BI108,0)</f>
        <v>0</v>
      </c>
      <c r="AF108" s="33">
        <f>IF(AQ108="2",BH108,0)</f>
        <v>0</v>
      </c>
      <c r="AG108" s="33">
        <f>IF(AQ108="2",BI108,0)</f>
        <v>0</v>
      </c>
      <c r="AH108" s="33">
        <f>IF(AQ108="0",BJ108,0)</f>
        <v>0</v>
      </c>
      <c r="AI108" s="21" t="s">
        <v>421</v>
      </c>
      <c r="AJ108" s="33">
        <f>IF(AN108=0,J108,0)</f>
        <v>0</v>
      </c>
      <c r="AK108" s="33">
        <f>IF(AN108=15,J108,0)</f>
        <v>0</v>
      </c>
      <c r="AL108" s="33">
        <f>IF(AN108=21,J108,0)</f>
        <v>0</v>
      </c>
      <c r="AN108" s="33">
        <v>21</v>
      </c>
      <c r="AO108" s="33">
        <f>G108*0.838282762948686</f>
        <v>0</v>
      </c>
      <c r="AP108" s="33">
        <f>G108*(1-0.838282762948686)</f>
        <v>0</v>
      </c>
      <c r="AQ108" s="51" t="s">
        <v>578</v>
      </c>
      <c r="AV108" s="33">
        <f>AW108+AX108</f>
        <v>0</v>
      </c>
      <c r="AW108" s="33">
        <f>F108*AO108</f>
        <v>0</v>
      </c>
      <c r="AX108" s="33">
        <f>F108*AP108</f>
        <v>0</v>
      </c>
      <c r="AY108" s="51" t="s">
        <v>418</v>
      </c>
      <c r="AZ108" s="51" t="s">
        <v>91</v>
      </c>
      <c r="BA108" s="21" t="s">
        <v>457</v>
      </c>
      <c r="BC108" s="33">
        <f>AW108+AX108</f>
        <v>0</v>
      </c>
      <c r="BD108" s="33">
        <f>G108/(100-BE108)*100</f>
        <v>0</v>
      </c>
      <c r="BE108" s="33">
        <v>0</v>
      </c>
      <c r="BF108" s="33">
        <f>108</f>
        <v>108</v>
      </c>
      <c r="BH108" s="33">
        <f>F108*AO108</f>
        <v>0</v>
      </c>
      <c r="BI108" s="33">
        <f>F108*AP108</f>
        <v>0</v>
      </c>
      <c r="BJ108" s="33">
        <f>F108*G108</f>
        <v>0</v>
      </c>
      <c r="BK108" s="33"/>
      <c r="BL108" s="33">
        <v>27</v>
      </c>
      <c r="BW108" s="33">
        <v>21</v>
      </c>
    </row>
    <row r="109" spans="1:75" ht="15" customHeight="1">
      <c r="A109" s="45"/>
      <c r="C109" s="13" t="s">
        <v>183</v>
      </c>
      <c r="D109" s="13" t="s">
        <v>421</v>
      </c>
      <c r="F109" s="49">
        <v>9.6720000000000014E-2</v>
      </c>
      <c r="K109" s="7"/>
    </row>
    <row r="110" spans="1:75" ht="15" customHeight="1">
      <c r="A110" s="54" t="s">
        <v>421</v>
      </c>
      <c r="B110" s="22" t="s">
        <v>111</v>
      </c>
      <c r="C110" s="79" t="s">
        <v>160</v>
      </c>
      <c r="D110" s="80"/>
      <c r="E110" s="3" t="s">
        <v>544</v>
      </c>
      <c r="F110" s="3" t="s">
        <v>544</v>
      </c>
      <c r="G110" s="3" t="s">
        <v>544</v>
      </c>
      <c r="H110" s="35">
        <f>SUM(H111:H113)</f>
        <v>0</v>
      </c>
      <c r="I110" s="35">
        <f>SUM(I111:I113)</f>
        <v>0</v>
      </c>
      <c r="J110" s="35">
        <f>SUM(J111:J113)</f>
        <v>0</v>
      </c>
      <c r="K110" s="16" t="s">
        <v>421</v>
      </c>
      <c r="AI110" s="21" t="s">
        <v>421</v>
      </c>
      <c r="AS110" s="35">
        <f>SUM(AJ111:AJ113)</f>
        <v>0</v>
      </c>
      <c r="AT110" s="35">
        <f>SUM(AK111:AK113)</f>
        <v>0</v>
      </c>
      <c r="AU110" s="35">
        <f>SUM(AL111:AL113)</f>
        <v>0</v>
      </c>
    </row>
    <row r="111" spans="1:75" ht="13.5" customHeight="1">
      <c r="A111" s="2" t="s">
        <v>389</v>
      </c>
      <c r="B111" s="5" t="s">
        <v>294</v>
      </c>
      <c r="C111" s="66" t="s">
        <v>577</v>
      </c>
      <c r="D111" s="63"/>
      <c r="E111" s="5" t="s">
        <v>147</v>
      </c>
      <c r="F111" s="33">
        <v>1</v>
      </c>
      <c r="G111" s="33">
        <v>0</v>
      </c>
      <c r="H111" s="33">
        <f>F111*AO111</f>
        <v>0</v>
      </c>
      <c r="I111" s="33">
        <f>F111*AP111</f>
        <v>0</v>
      </c>
      <c r="J111" s="33">
        <f>F111*G111</f>
        <v>0</v>
      </c>
      <c r="K111" s="6" t="s">
        <v>421</v>
      </c>
      <c r="Z111" s="33">
        <f>IF(AQ111="5",BJ111,0)</f>
        <v>0</v>
      </c>
      <c r="AB111" s="33">
        <f>IF(AQ111="1",BH111,0)</f>
        <v>0</v>
      </c>
      <c r="AC111" s="33">
        <f>IF(AQ111="1",BI111,0)</f>
        <v>0</v>
      </c>
      <c r="AD111" s="33">
        <f>IF(AQ111="7",BH111,0)</f>
        <v>0</v>
      </c>
      <c r="AE111" s="33">
        <f>IF(AQ111="7",BI111,0)</f>
        <v>0</v>
      </c>
      <c r="AF111" s="33">
        <f>IF(AQ111="2",BH111,0)</f>
        <v>0</v>
      </c>
      <c r="AG111" s="33">
        <f>IF(AQ111="2",BI111,0)</f>
        <v>0</v>
      </c>
      <c r="AH111" s="33">
        <f>IF(AQ111="0",BJ111,0)</f>
        <v>0</v>
      </c>
      <c r="AI111" s="21" t="s">
        <v>421</v>
      </c>
      <c r="AJ111" s="33">
        <f>IF(AN111=0,J111,0)</f>
        <v>0</v>
      </c>
      <c r="AK111" s="33">
        <f>IF(AN111=15,J111,0)</f>
        <v>0</v>
      </c>
      <c r="AL111" s="33">
        <f>IF(AN111=21,J111,0)</f>
        <v>0</v>
      </c>
      <c r="AN111" s="33">
        <v>21</v>
      </c>
      <c r="AO111" s="33">
        <f>G111*0.333333333333333</f>
        <v>0</v>
      </c>
      <c r="AP111" s="33">
        <f>G111*(1-0.333333333333333)</f>
        <v>0</v>
      </c>
      <c r="AQ111" s="51" t="s">
        <v>578</v>
      </c>
      <c r="AV111" s="33">
        <f>AW111+AX111</f>
        <v>0</v>
      </c>
      <c r="AW111" s="33">
        <f>F111*AO111</f>
        <v>0</v>
      </c>
      <c r="AX111" s="33">
        <f>F111*AP111</f>
        <v>0</v>
      </c>
      <c r="AY111" s="51" t="s">
        <v>273</v>
      </c>
      <c r="AZ111" s="51" t="s">
        <v>32</v>
      </c>
      <c r="BA111" s="21" t="s">
        <v>457</v>
      </c>
      <c r="BC111" s="33">
        <f>AW111+AX111</f>
        <v>0</v>
      </c>
      <c r="BD111" s="33">
        <f>G111/(100-BE111)*100</f>
        <v>0</v>
      </c>
      <c r="BE111" s="33">
        <v>0</v>
      </c>
      <c r="BF111" s="33">
        <f>111</f>
        <v>111</v>
      </c>
      <c r="BH111" s="33">
        <f>F111*AO111</f>
        <v>0</v>
      </c>
      <c r="BI111" s="33">
        <f>F111*AP111</f>
        <v>0</v>
      </c>
      <c r="BJ111" s="33">
        <f>F111*G111</f>
        <v>0</v>
      </c>
      <c r="BK111" s="33"/>
      <c r="BL111" s="33">
        <v>343</v>
      </c>
      <c r="BW111" s="33">
        <v>21</v>
      </c>
    </row>
    <row r="112" spans="1:75" ht="15" customHeight="1">
      <c r="A112" s="45"/>
      <c r="C112" s="13" t="s">
        <v>208</v>
      </c>
      <c r="D112" s="13" t="s">
        <v>421</v>
      </c>
      <c r="F112" s="49">
        <v>1</v>
      </c>
      <c r="K112" s="7"/>
    </row>
    <row r="113" spans="1:75" ht="13.5" customHeight="1">
      <c r="A113" s="2" t="s">
        <v>213</v>
      </c>
      <c r="B113" s="5" t="s">
        <v>548</v>
      </c>
      <c r="C113" s="66" t="s">
        <v>308</v>
      </c>
      <c r="D113" s="63"/>
      <c r="E113" s="5" t="s">
        <v>147</v>
      </c>
      <c r="F113" s="33">
        <v>3</v>
      </c>
      <c r="G113" s="33">
        <v>0</v>
      </c>
      <c r="H113" s="33">
        <f>F113*AO113</f>
        <v>0</v>
      </c>
      <c r="I113" s="33">
        <f>F113*AP113</f>
        <v>0</v>
      </c>
      <c r="J113" s="33">
        <f>F113*G113</f>
        <v>0</v>
      </c>
      <c r="K113" s="6" t="s">
        <v>421</v>
      </c>
      <c r="Z113" s="33">
        <f>IF(AQ113="5",BJ113,0)</f>
        <v>0</v>
      </c>
      <c r="AB113" s="33">
        <f>IF(AQ113="1",BH113,0)</f>
        <v>0</v>
      </c>
      <c r="AC113" s="33">
        <f>IF(AQ113="1",BI113,0)</f>
        <v>0</v>
      </c>
      <c r="AD113" s="33">
        <f>IF(AQ113="7",BH113,0)</f>
        <v>0</v>
      </c>
      <c r="AE113" s="33">
        <f>IF(AQ113="7",BI113,0)</f>
        <v>0</v>
      </c>
      <c r="AF113" s="33">
        <f>IF(AQ113="2",BH113,0)</f>
        <v>0</v>
      </c>
      <c r="AG113" s="33">
        <f>IF(AQ113="2",BI113,0)</f>
        <v>0</v>
      </c>
      <c r="AH113" s="33">
        <f>IF(AQ113="0",BJ113,0)</f>
        <v>0</v>
      </c>
      <c r="AI113" s="21" t="s">
        <v>421</v>
      </c>
      <c r="AJ113" s="33">
        <f>IF(AN113=0,J113,0)</f>
        <v>0</v>
      </c>
      <c r="AK113" s="33">
        <f>IF(AN113=15,J113,0)</f>
        <v>0</v>
      </c>
      <c r="AL113" s="33">
        <f>IF(AN113=21,J113,0)</f>
        <v>0</v>
      </c>
      <c r="AN113" s="33">
        <v>21</v>
      </c>
      <c r="AO113" s="33">
        <f>G113*0.666666666666667</f>
        <v>0</v>
      </c>
      <c r="AP113" s="33">
        <f>G113*(1-0.666666666666667)</f>
        <v>0</v>
      </c>
      <c r="AQ113" s="51" t="s">
        <v>578</v>
      </c>
      <c r="AV113" s="33">
        <f>AW113+AX113</f>
        <v>0</v>
      </c>
      <c r="AW113" s="33">
        <f>F113*AO113</f>
        <v>0</v>
      </c>
      <c r="AX113" s="33">
        <f>F113*AP113</f>
        <v>0</v>
      </c>
      <c r="AY113" s="51" t="s">
        <v>273</v>
      </c>
      <c r="AZ113" s="51" t="s">
        <v>32</v>
      </c>
      <c r="BA113" s="21" t="s">
        <v>457</v>
      </c>
      <c r="BC113" s="33">
        <f>AW113+AX113</f>
        <v>0</v>
      </c>
      <c r="BD113" s="33">
        <f>G113/(100-BE113)*100</f>
        <v>0</v>
      </c>
      <c r="BE113" s="33">
        <v>0</v>
      </c>
      <c r="BF113" s="33">
        <f>113</f>
        <v>113</v>
      </c>
      <c r="BH113" s="33">
        <f>F113*AO113</f>
        <v>0</v>
      </c>
      <c r="BI113" s="33">
        <f>F113*AP113</f>
        <v>0</v>
      </c>
      <c r="BJ113" s="33">
        <f>F113*G113</f>
        <v>0</v>
      </c>
      <c r="BK113" s="33"/>
      <c r="BL113" s="33">
        <v>343</v>
      </c>
      <c r="BW113" s="33">
        <v>21</v>
      </c>
    </row>
    <row r="114" spans="1:75" ht="15" customHeight="1">
      <c r="A114" s="45"/>
      <c r="C114" s="13" t="s">
        <v>366</v>
      </c>
      <c r="D114" s="13" t="s">
        <v>421</v>
      </c>
      <c r="F114" s="49">
        <v>3.0000000000000004</v>
      </c>
      <c r="K114" s="7"/>
    </row>
    <row r="115" spans="1:75" ht="15" customHeight="1">
      <c r="A115" s="54" t="s">
        <v>421</v>
      </c>
      <c r="B115" s="22" t="s">
        <v>211</v>
      </c>
      <c r="C115" s="79" t="s">
        <v>460</v>
      </c>
      <c r="D115" s="80"/>
      <c r="E115" s="3" t="s">
        <v>544</v>
      </c>
      <c r="F115" s="3" t="s">
        <v>544</v>
      </c>
      <c r="G115" s="3" t="s">
        <v>544</v>
      </c>
      <c r="H115" s="35">
        <f>SUM(H116:H118)</f>
        <v>0</v>
      </c>
      <c r="I115" s="35">
        <f>SUM(I116:I118)</f>
        <v>0</v>
      </c>
      <c r="J115" s="35">
        <f>SUM(J116:J118)</f>
        <v>0</v>
      </c>
      <c r="K115" s="16" t="s">
        <v>421</v>
      </c>
      <c r="AI115" s="21" t="s">
        <v>421</v>
      </c>
      <c r="AS115" s="35">
        <f>SUM(AJ116:AJ118)</f>
        <v>0</v>
      </c>
      <c r="AT115" s="35">
        <f>SUM(AK116:AK118)</f>
        <v>0</v>
      </c>
      <c r="AU115" s="35">
        <f>SUM(AL116:AL118)</f>
        <v>0</v>
      </c>
    </row>
    <row r="116" spans="1:75" ht="13.5" customHeight="1">
      <c r="A116" s="2" t="s">
        <v>572</v>
      </c>
      <c r="B116" s="5" t="s">
        <v>431</v>
      </c>
      <c r="C116" s="66" t="s">
        <v>432</v>
      </c>
      <c r="D116" s="63"/>
      <c r="E116" s="5" t="s">
        <v>562</v>
      </c>
      <c r="F116" s="33">
        <v>20.684999999999999</v>
      </c>
      <c r="G116" s="33">
        <v>0</v>
      </c>
      <c r="H116" s="33">
        <f>F116*AO116</f>
        <v>0</v>
      </c>
      <c r="I116" s="33">
        <f>F116*AP116</f>
        <v>0</v>
      </c>
      <c r="J116" s="33">
        <f>F116*G116</f>
        <v>0</v>
      </c>
      <c r="K116" s="6" t="s">
        <v>416</v>
      </c>
      <c r="Z116" s="33">
        <f>IF(AQ116="5",BJ116,0)</f>
        <v>0</v>
      </c>
      <c r="AB116" s="33">
        <f>IF(AQ116="1",BH116,0)</f>
        <v>0</v>
      </c>
      <c r="AC116" s="33">
        <f>IF(AQ116="1",BI116,0)</f>
        <v>0</v>
      </c>
      <c r="AD116" s="33">
        <f>IF(AQ116="7",BH116,0)</f>
        <v>0</v>
      </c>
      <c r="AE116" s="33">
        <f>IF(AQ116="7",BI116,0)</f>
        <v>0</v>
      </c>
      <c r="AF116" s="33">
        <f>IF(AQ116="2",BH116,0)</f>
        <v>0</v>
      </c>
      <c r="AG116" s="33">
        <f>IF(AQ116="2",BI116,0)</f>
        <v>0</v>
      </c>
      <c r="AH116" s="33">
        <f>IF(AQ116="0",BJ116,0)</f>
        <v>0</v>
      </c>
      <c r="AI116" s="21" t="s">
        <v>421</v>
      </c>
      <c r="AJ116" s="33">
        <f>IF(AN116=0,J116,0)</f>
        <v>0</v>
      </c>
      <c r="AK116" s="33">
        <f>IF(AN116=15,J116,0)</f>
        <v>0</v>
      </c>
      <c r="AL116" s="33">
        <f>IF(AN116=21,J116,0)</f>
        <v>0</v>
      </c>
      <c r="AN116" s="33">
        <v>21</v>
      </c>
      <c r="AO116" s="33">
        <f>G116*0.480904558404558</f>
        <v>0</v>
      </c>
      <c r="AP116" s="33">
        <f>G116*(1-0.480904558404558)</f>
        <v>0</v>
      </c>
      <c r="AQ116" s="51" t="s">
        <v>578</v>
      </c>
      <c r="AV116" s="33">
        <f>AW116+AX116</f>
        <v>0</v>
      </c>
      <c r="AW116" s="33">
        <f>F116*AO116</f>
        <v>0</v>
      </c>
      <c r="AX116" s="33">
        <f>F116*AP116</f>
        <v>0</v>
      </c>
      <c r="AY116" s="51" t="s">
        <v>298</v>
      </c>
      <c r="AZ116" s="51" t="s">
        <v>490</v>
      </c>
      <c r="BA116" s="21" t="s">
        <v>457</v>
      </c>
      <c r="BC116" s="33">
        <f>AW116+AX116</f>
        <v>0</v>
      </c>
      <c r="BD116" s="33">
        <f>G116/(100-BE116)*100</f>
        <v>0</v>
      </c>
      <c r="BE116" s="33">
        <v>0</v>
      </c>
      <c r="BF116" s="33">
        <f>116</f>
        <v>116</v>
      </c>
      <c r="BH116" s="33">
        <f>F116*AO116</f>
        <v>0</v>
      </c>
      <c r="BI116" s="33">
        <f>F116*AP116</f>
        <v>0</v>
      </c>
      <c r="BJ116" s="33">
        <f>F116*G116</f>
        <v>0</v>
      </c>
      <c r="BK116" s="33"/>
      <c r="BL116" s="33">
        <v>45</v>
      </c>
      <c r="BW116" s="33">
        <v>21</v>
      </c>
    </row>
    <row r="117" spans="1:75" ht="15" customHeight="1">
      <c r="A117" s="45"/>
      <c r="C117" s="13" t="s">
        <v>23</v>
      </c>
      <c r="D117" s="13" t="s">
        <v>421</v>
      </c>
      <c r="F117" s="49">
        <v>20.685000000000002</v>
      </c>
      <c r="K117" s="7"/>
    </row>
    <row r="118" spans="1:75" ht="13.5" customHeight="1">
      <c r="A118" s="2" t="s">
        <v>113</v>
      </c>
      <c r="B118" s="5" t="s">
        <v>56</v>
      </c>
      <c r="C118" s="66" t="s">
        <v>108</v>
      </c>
      <c r="D118" s="63"/>
      <c r="E118" s="5" t="s">
        <v>562</v>
      </c>
      <c r="F118" s="33">
        <v>20.684999999999999</v>
      </c>
      <c r="G118" s="33">
        <v>0</v>
      </c>
      <c r="H118" s="33">
        <f>F118*AO118</f>
        <v>0</v>
      </c>
      <c r="I118" s="33">
        <f>F118*AP118</f>
        <v>0</v>
      </c>
      <c r="J118" s="33">
        <f>F118*G118</f>
        <v>0</v>
      </c>
      <c r="K118" s="6" t="s">
        <v>416</v>
      </c>
      <c r="Z118" s="33">
        <f>IF(AQ118="5",BJ118,0)</f>
        <v>0</v>
      </c>
      <c r="AB118" s="33">
        <f>IF(AQ118="1",BH118,0)</f>
        <v>0</v>
      </c>
      <c r="AC118" s="33">
        <f>IF(AQ118="1",BI118,0)</f>
        <v>0</v>
      </c>
      <c r="AD118" s="33">
        <f>IF(AQ118="7",BH118,0)</f>
        <v>0</v>
      </c>
      <c r="AE118" s="33">
        <f>IF(AQ118="7",BI118,0)</f>
        <v>0</v>
      </c>
      <c r="AF118" s="33">
        <f>IF(AQ118="2",BH118,0)</f>
        <v>0</v>
      </c>
      <c r="AG118" s="33">
        <f>IF(AQ118="2",BI118,0)</f>
        <v>0</v>
      </c>
      <c r="AH118" s="33">
        <f>IF(AQ118="0",BJ118,0)</f>
        <v>0</v>
      </c>
      <c r="AI118" s="21" t="s">
        <v>421</v>
      </c>
      <c r="AJ118" s="33">
        <f>IF(AN118=0,J118,0)</f>
        <v>0</v>
      </c>
      <c r="AK118" s="33">
        <f>IF(AN118=15,J118,0)</f>
        <v>0</v>
      </c>
      <c r="AL118" s="33">
        <f>IF(AN118=21,J118,0)</f>
        <v>0</v>
      </c>
      <c r="AN118" s="33">
        <v>21</v>
      </c>
      <c r="AO118" s="33">
        <f>G118*0</f>
        <v>0</v>
      </c>
      <c r="AP118" s="33">
        <f>G118*(1-0)</f>
        <v>0</v>
      </c>
      <c r="AQ118" s="51" t="s">
        <v>419</v>
      </c>
      <c r="AV118" s="33">
        <f>AW118+AX118</f>
        <v>0</v>
      </c>
      <c r="AW118" s="33">
        <f>F118*AO118</f>
        <v>0</v>
      </c>
      <c r="AX118" s="33">
        <f>F118*AP118</f>
        <v>0</v>
      </c>
      <c r="AY118" s="51" t="s">
        <v>298</v>
      </c>
      <c r="AZ118" s="51" t="s">
        <v>490</v>
      </c>
      <c r="BA118" s="21" t="s">
        <v>457</v>
      </c>
      <c r="BC118" s="33">
        <f>AW118+AX118</f>
        <v>0</v>
      </c>
      <c r="BD118" s="33">
        <f>G118/(100-BE118)*100</f>
        <v>0</v>
      </c>
      <c r="BE118" s="33">
        <v>0</v>
      </c>
      <c r="BF118" s="33">
        <f>118</f>
        <v>118</v>
      </c>
      <c r="BH118" s="33">
        <f>F118*AO118</f>
        <v>0</v>
      </c>
      <c r="BI118" s="33">
        <f>F118*AP118</f>
        <v>0</v>
      </c>
      <c r="BJ118" s="33">
        <f>F118*G118</f>
        <v>0</v>
      </c>
      <c r="BK118" s="33"/>
      <c r="BL118" s="33">
        <v>45</v>
      </c>
      <c r="BW118" s="33">
        <v>21</v>
      </c>
    </row>
    <row r="119" spans="1:75" ht="15" customHeight="1">
      <c r="A119" s="45"/>
      <c r="C119" s="13" t="s">
        <v>189</v>
      </c>
      <c r="D119" s="13" t="s">
        <v>421</v>
      </c>
      <c r="F119" s="49">
        <v>20.685000000000002</v>
      </c>
      <c r="K119" s="7"/>
    </row>
    <row r="120" spans="1:75" ht="15" customHeight="1">
      <c r="A120" s="54" t="s">
        <v>421</v>
      </c>
      <c r="B120" s="22" t="s">
        <v>283</v>
      </c>
      <c r="C120" s="79" t="s">
        <v>550</v>
      </c>
      <c r="D120" s="80"/>
      <c r="E120" s="3" t="s">
        <v>544</v>
      </c>
      <c r="F120" s="3" t="s">
        <v>544</v>
      </c>
      <c r="G120" s="3" t="s">
        <v>544</v>
      </c>
      <c r="H120" s="35">
        <f>SUM(H121:H121)</f>
        <v>0</v>
      </c>
      <c r="I120" s="35">
        <f>SUM(I121:I121)</f>
        <v>0</v>
      </c>
      <c r="J120" s="35">
        <f>SUM(J121:J121)</f>
        <v>0</v>
      </c>
      <c r="K120" s="16" t="s">
        <v>421</v>
      </c>
      <c r="AI120" s="21" t="s">
        <v>421</v>
      </c>
      <c r="AS120" s="35">
        <f>SUM(AJ121:AJ121)</f>
        <v>0</v>
      </c>
      <c r="AT120" s="35">
        <f>SUM(AK121:AK121)</f>
        <v>0</v>
      </c>
      <c r="AU120" s="35">
        <f>SUM(AL121:AL121)</f>
        <v>0</v>
      </c>
    </row>
    <row r="121" spans="1:75" ht="13.5" customHeight="1">
      <c r="A121" s="2" t="s">
        <v>198</v>
      </c>
      <c r="B121" s="5" t="s">
        <v>244</v>
      </c>
      <c r="C121" s="66" t="s">
        <v>400</v>
      </c>
      <c r="D121" s="63"/>
      <c r="E121" s="5" t="s">
        <v>571</v>
      </c>
      <c r="F121" s="33">
        <v>5</v>
      </c>
      <c r="G121" s="33">
        <v>0</v>
      </c>
      <c r="H121" s="33">
        <f>F121*AO121</f>
        <v>0</v>
      </c>
      <c r="I121" s="33">
        <f>F121*AP121</f>
        <v>0</v>
      </c>
      <c r="J121" s="33">
        <f>F121*G121</f>
        <v>0</v>
      </c>
      <c r="K121" s="6" t="s">
        <v>416</v>
      </c>
      <c r="Z121" s="33">
        <f>IF(AQ121="5",BJ121,0)</f>
        <v>0</v>
      </c>
      <c r="AB121" s="33">
        <f>IF(AQ121="1",BH121,0)</f>
        <v>0</v>
      </c>
      <c r="AC121" s="33">
        <f>IF(AQ121="1",BI121,0)</f>
        <v>0</v>
      </c>
      <c r="AD121" s="33">
        <f>IF(AQ121="7",BH121,0)</f>
        <v>0</v>
      </c>
      <c r="AE121" s="33">
        <f>IF(AQ121="7",BI121,0)</f>
        <v>0</v>
      </c>
      <c r="AF121" s="33">
        <f>IF(AQ121="2",BH121,0)</f>
        <v>0</v>
      </c>
      <c r="AG121" s="33">
        <f>IF(AQ121="2",BI121,0)</f>
        <v>0</v>
      </c>
      <c r="AH121" s="33">
        <f>IF(AQ121="0",BJ121,0)</f>
        <v>0</v>
      </c>
      <c r="AI121" s="21" t="s">
        <v>421</v>
      </c>
      <c r="AJ121" s="33">
        <f>IF(AN121=0,J121,0)</f>
        <v>0</v>
      </c>
      <c r="AK121" s="33">
        <f>IF(AN121=15,J121,0)</f>
        <v>0</v>
      </c>
      <c r="AL121" s="33">
        <f>IF(AN121=21,J121,0)</f>
        <v>0</v>
      </c>
      <c r="AN121" s="33">
        <v>21</v>
      </c>
      <c r="AO121" s="33">
        <f>G121*0.149452054794521</f>
        <v>0</v>
      </c>
      <c r="AP121" s="33">
        <f>G121*(1-0.149452054794521)</f>
        <v>0</v>
      </c>
      <c r="AQ121" s="51" t="s">
        <v>578</v>
      </c>
      <c r="AV121" s="33">
        <f>AW121+AX121</f>
        <v>0</v>
      </c>
      <c r="AW121" s="33">
        <f>F121*AO121</f>
        <v>0</v>
      </c>
      <c r="AX121" s="33">
        <f>F121*AP121</f>
        <v>0</v>
      </c>
      <c r="AY121" s="51" t="s">
        <v>573</v>
      </c>
      <c r="AZ121" s="51" t="s">
        <v>360</v>
      </c>
      <c r="BA121" s="21" t="s">
        <v>457</v>
      </c>
      <c r="BC121" s="33">
        <f>AW121+AX121</f>
        <v>0</v>
      </c>
      <c r="BD121" s="33">
        <f>G121/(100-BE121)*100</f>
        <v>0</v>
      </c>
      <c r="BE121" s="33">
        <v>0</v>
      </c>
      <c r="BF121" s="33">
        <f>121</f>
        <v>121</v>
      </c>
      <c r="BH121" s="33">
        <f>F121*AO121</f>
        <v>0</v>
      </c>
      <c r="BI121" s="33">
        <f>F121*AP121</f>
        <v>0</v>
      </c>
      <c r="BJ121" s="33">
        <f>F121*G121</f>
        <v>0</v>
      </c>
      <c r="BK121" s="33"/>
      <c r="BL121" s="33">
        <v>59</v>
      </c>
      <c r="BW121" s="33">
        <v>21</v>
      </c>
    </row>
    <row r="122" spans="1:75" ht="15" customHeight="1">
      <c r="A122" s="45"/>
      <c r="C122" s="13" t="s">
        <v>326</v>
      </c>
      <c r="D122" s="13" t="s">
        <v>421</v>
      </c>
      <c r="F122" s="49">
        <v>5</v>
      </c>
      <c r="K122" s="7"/>
    </row>
    <row r="123" spans="1:75" ht="15" customHeight="1">
      <c r="A123" s="54" t="s">
        <v>421</v>
      </c>
      <c r="B123" s="22" t="s">
        <v>438</v>
      </c>
      <c r="C123" s="79" t="s">
        <v>434</v>
      </c>
      <c r="D123" s="80"/>
      <c r="E123" s="3" t="s">
        <v>544</v>
      </c>
      <c r="F123" s="3" t="s">
        <v>544</v>
      </c>
      <c r="G123" s="3" t="s">
        <v>544</v>
      </c>
      <c r="H123" s="35">
        <f>SUM(H124:H128)</f>
        <v>0</v>
      </c>
      <c r="I123" s="35">
        <f>SUM(I124:I128)</f>
        <v>0</v>
      </c>
      <c r="J123" s="35">
        <f>SUM(J124:J128)</f>
        <v>0</v>
      </c>
      <c r="K123" s="16" t="s">
        <v>421</v>
      </c>
      <c r="AI123" s="21" t="s">
        <v>421</v>
      </c>
      <c r="AS123" s="35">
        <f>SUM(AJ124:AJ128)</f>
        <v>0</v>
      </c>
      <c r="AT123" s="35">
        <f>SUM(AK124:AK128)</f>
        <v>0</v>
      </c>
      <c r="AU123" s="35">
        <f>SUM(AL124:AL128)</f>
        <v>0</v>
      </c>
    </row>
    <row r="124" spans="1:75" ht="13.5" customHeight="1">
      <c r="A124" s="2" t="s">
        <v>268</v>
      </c>
      <c r="B124" s="5" t="s">
        <v>540</v>
      </c>
      <c r="C124" s="66" t="s">
        <v>112</v>
      </c>
      <c r="D124" s="63"/>
      <c r="E124" s="5" t="s">
        <v>571</v>
      </c>
      <c r="F124" s="33">
        <v>29.594999999999999</v>
      </c>
      <c r="G124" s="33">
        <v>0</v>
      </c>
      <c r="H124" s="33">
        <f>F124*AO124</f>
        <v>0</v>
      </c>
      <c r="I124" s="33">
        <f>F124*AP124</f>
        <v>0</v>
      </c>
      <c r="J124" s="33">
        <f>F124*G124</f>
        <v>0</v>
      </c>
      <c r="K124" s="6" t="s">
        <v>416</v>
      </c>
      <c r="Z124" s="33">
        <f>IF(AQ124="5",BJ124,0)</f>
        <v>0</v>
      </c>
      <c r="AB124" s="33">
        <f>IF(AQ124="1",BH124,0)</f>
        <v>0</v>
      </c>
      <c r="AC124" s="33">
        <f>IF(AQ124="1",BI124,0)</f>
        <v>0</v>
      </c>
      <c r="AD124" s="33">
        <f>IF(AQ124="7",BH124,0)</f>
        <v>0</v>
      </c>
      <c r="AE124" s="33">
        <f>IF(AQ124="7",BI124,0)</f>
        <v>0</v>
      </c>
      <c r="AF124" s="33">
        <f>IF(AQ124="2",BH124,0)</f>
        <v>0</v>
      </c>
      <c r="AG124" s="33">
        <f>IF(AQ124="2",BI124,0)</f>
        <v>0</v>
      </c>
      <c r="AH124" s="33">
        <f>IF(AQ124="0",BJ124,0)</f>
        <v>0</v>
      </c>
      <c r="AI124" s="21" t="s">
        <v>421</v>
      </c>
      <c r="AJ124" s="33">
        <f>IF(AN124=0,J124,0)</f>
        <v>0</v>
      </c>
      <c r="AK124" s="33">
        <f>IF(AN124=15,J124,0)</f>
        <v>0</v>
      </c>
      <c r="AL124" s="33">
        <f>IF(AN124=21,J124,0)</f>
        <v>0</v>
      </c>
      <c r="AN124" s="33">
        <v>21</v>
      </c>
      <c r="AO124" s="33">
        <f>G124*0.0959677419354839</f>
        <v>0</v>
      </c>
      <c r="AP124" s="33">
        <f>G124*(1-0.0959677419354839)</f>
        <v>0</v>
      </c>
      <c r="AQ124" s="51" t="s">
        <v>578</v>
      </c>
      <c r="AV124" s="33">
        <f>AW124+AX124</f>
        <v>0</v>
      </c>
      <c r="AW124" s="33">
        <f>F124*AO124</f>
        <v>0</v>
      </c>
      <c r="AX124" s="33">
        <f>F124*AP124</f>
        <v>0</v>
      </c>
      <c r="AY124" s="51" t="s">
        <v>378</v>
      </c>
      <c r="AZ124" s="51" t="s">
        <v>79</v>
      </c>
      <c r="BA124" s="21" t="s">
        <v>457</v>
      </c>
      <c r="BC124" s="33">
        <f>AW124+AX124</f>
        <v>0</v>
      </c>
      <c r="BD124" s="33">
        <f>G124/(100-BE124)*100</f>
        <v>0</v>
      </c>
      <c r="BE124" s="33">
        <v>0</v>
      </c>
      <c r="BF124" s="33">
        <f>124</f>
        <v>124</v>
      </c>
      <c r="BH124" s="33">
        <f>F124*AO124</f>
        <v>0</v>
      </c>
      <c r="BI124" s="33">
        <f>F124*AP124</f>
        <v>0</v>
      </c>
      <c r="BJ124" s="33">
        <f>F124*G124</f>
        <v>0</v>
      </c>
      <c r="BK124" s="33"/>
      <c r="BL124" s="33">
        <v>61</v>
      </c>
      <c r="BW124" s="33">
        <v>21</v>
      </c>
    </row>
    <row r="125" spans="1:75" ht="15" customHeight="1">
      <c r="A125" s="45"/>
      <c r="C125" s="13" t="s">
        <v>626</v>
      </c>
      <c r="D125" s="13" t="s">
        <v>421</v>
      </c>
      <c r="F125" s="49">
        <v>10.797000000000001</v>
      </c>
      <c r="K125" s="7"/>
    </row>
    <row r="126" spans="1:75" ht="15" customHeight="1">
      <c r="A126" s="45"/>
      <c r="C126" s="13" t="s">
        <v>424</v>
      </c>
      <c r="D126" s="13" t="s">
        <v>421</v>
      </c>
      <c r="F126" s="49">
        <v>18.798000000000002</v>
      </c>
      <c r="K126" s="7"/>
    </row>
    <row r="127" spans="1:75" ht="15" customHeight="1">
      <c r="A127" s="45"/>
      <c r="C127" s="13" t="s">
        <v>350</v>
      </c>
      <c r="D127" s="13" t="s">
        <v>421</v>
      </c>
      <c r="F127" s="49">
        <v>0</v>
      </c>
      <c r="K127" s="7"/>
    </row>
    <row r="128" spans="1:75" ht="13.5" customHeight="1">
      <c r="A128" s="2" t="s">
        <v>211</v>
      </c>
      <c r="B128" s="5" t="s">
        <v>206</v>
      </c>
      <c r="C128" s="66" t="s">
        <v>36</v>
      </c>
      <c r="D128" s="63"/>
      <c r="E128" s="5" t="s">
        <v>571</v>
      </c>
      <c r="F128" s="33">
        <v>28.4</v>
      </c>
      <c r="G128" s="33">
        <v>0</v>
      </c>
      <c r="H128" s="33">
        <f>F128*AO128</f>
        <v>0</v>
      </c>
      <c r="I128" s="33">
        <f>F128*AP128</f>
        <v>0</v>
      </c>
      <c r="J128" s="33">
        <f>F128*G128</f>
        <v>0</v>
      </c>
      <c r="K128" s="6" t="s">
        <v>416</v>
      </c>
      <c r="Z128" s="33">
        <f>IF(AQ128="5",BJ128,0)</f>
        <v>0</v>
      </c>
      <c r="AB128" s="33">
        <f>IF(AQ128="1",BH128,0)</f>
        <v>0</v>
      </c>
      <c r="AC128" s="33">
        <f>IF(AQ128="1",BI128,0)</f>
        <v>0</v>
      </c>
      <c r="AD128" s="33">
        <f>IF(AQ128="7",BH128,0)</f>
        <v>0</v>
      </c>
      <c r="AE128" s="33">
        <f>IF(AQ128="7",BI128,0)</f>
        <v>0</v>
      </c>
      <c r="AF128" s="33">
        <f>IF(AQ128="2",BH128,0)</f>
        <v>0</v>
      </c>
      <c r="AG128" s="33">
        <f>IF(AQ128="2",BI128,0)</f>
        <v>0</v>
      </c>
      <c r="AH128" s="33">
        <f>IF(AQ128="0",BJ128,0)</f>
        <v>0</v>
      </c>
      <c r="AI128" s="21" t="s">
        <v>421</v>
      </c>
      <c r="AJ128" s="33">
        <f>IF(AN128=0,J128,0)</f>
        <v>0</v>
      </c>
      <c r="AK128" s="33">
        <f>IF(AN128=15,J128,0)</f>
        <v>0</v>
      </c>
      <c r="AL128" s="33">
        <f>IF(AN128=21,J128,0)</f>
        <v>0</v>
      </c>
      <c r="AN128" s="33">
        <v>21</v>
      </c>
      <c r="AO128" s="33">
        <f>G128*0.154122807017544</f>
        <v>0</v>
      </c>
      <c r="AP128" s="33">
        <f>G128*(1-0.154122807017544)</f>
        <v>0</v>
      </c>
      <c r="AQ128" s="51" t="s">
        <v>578</v>
      </c>
      <c r="AV128" s="33">
        <f>AW128+AX128</f>
        <v>0</v>
      </c>
      <c r="AW128" s="33">
        <f>F128*AO128</f>
        <v>0</v>
      </c>
      <c r="AX128" s="33">
        <f>F128*AP128</f>
        <v>0</v>
      </c>
      <c r="AY128" s="51" t="s">
        <v>378</v>
      </c>
      <c r="AZ128" s="51" t="s">
        <v>79</v>
      </c>
      <c r="BA128" s="21" t="s">
        <v>457</v>
      </c>
      <c r="BC128" s="33">
        <f>AW128+AX128</f>
        <v>0</v>
      </c>
      <c r="BD128" s="33">
        <f>G128/(100-BE128)*100</f>
        <v>0</v>
      </c>
      <c r="BE128" s="33">
        <v>0</v>
      </c>
      <c r="BF128" s="33">
        <f>128</f>
        <v>128</v>
      </c>
      <c r="BH128" s="33">
        <f>F128*AO128</f>
        <v>0</v>
      </c>
      <c r="BI128" s="33">
        <f>F128*AP128</f>
        <v>0</v>
      </c>
      <c r="BJ128" s="33">
        <f>F128*G128</f>
        <v>0</v>
      </c>
      <c r="BK128" s="33"/>
      <c r="BL128" s="33">
        <v>61</v>
      </c>
      <c r="BW128" s="33">
        <v>21</v>
      </c>
    </row>
    <row r="129" spans="1:75" ht="15" customHeight="1">
      <c r="A129" s="45"/>
      <c r="C129" s="13" t="s">
        <v>482</v>
      </c>
      <c r="D129" s="13" t="s">
        <v>421</v>
      </c>
      <c r="F129" s="49">
        <v>9.9</v>
      </c>
      <c r="K129" s="7"/>
    </row>
    <row r="130" spans="1:75" ht="15" customHeight="1">
      <c r="A130" s="45"/>
      <c r="C130" s="13" t="s">
        <v>558</v>
      </c>
      <c r="D130" s="13" t="s">
        <v>421</v>
      </c>
      <c r="F130" s="49">
        <v>18.5</v>
      </c>
      <c r="K130" s="7"/>
    </row>
    <row r="131" spans="1:75" ht="15" customHeight="1">
      <c r="A131" s="45"/>
      <c r="C131" s="13" t="s">
        <v>350</v>
      </c>
      <c r="D131" s="13" t="s">
        <v>421</v>
      </c>
      <c r="F131" s="49">
        <v>0</v>
      </c>
      <c r="K131" s="7"/>
    </row>
    <row r="132" spans="1:75" ht="15" customHeight="1">
      <c r="A132" s="54" t="s">
        <v>421</v>
      </c>
      <c r="B132" s="22" t="s">
        <v>651</v>
      </c>
      <c r="C132" s="79" t="s">
        <v>484</v>
      </c>
      <c r="D132" s="80"/>
      <c r="E132" s="3" t="s">
        <v>544</v>
      </c>
      <c r="F132" s="3" t="s">
        <v>544</v>
      </c>
      <c r="G132" s="3" t="s">
        <v>544</v>
      </c>
      <c r="H132" s="35">
        <f>SUM(H133:H133)</f>
        <v>0</v>
      </c>
      <c r="I132" s="35">
        <f>SUM(I133:I133)</f>
        <v>0</v>
      </c>
      <c r="J132" s="35">
        <f>SUM(J133:J133)</f>
        <v>0</v>
      </c>
      <c r="K132" s="16" t="s">
        <v>421</v>
      </c>
      <c r="AI132" s="21" t="s">
        <v>421</v>
      </c>
      <c r="AS132" s="35">
        <f>SUM(AJ133:AJ133)</f>
        <v>0</v>
      </c>
      <c r="AT132" s="35">
        <f>SUM(AK133:AK133)</f>
        <v>0</v>
      </c>
      <c r="AU132" s="35">
        <f>SUM(AL133:AL133)</f>
        <v>0</v>
      </c>
    </row>
    <row r="133" spans="1:75" ht="13.5" customHeight="1">
      <c r="A133" s="2" t="s">
        <v>479</v>
      </c>
      <c r="B133" s="5" t="s">
        <v>361</v>
      </c>
      <c r="C133" s="66" t="s">
        <v>489</v>
      </c>
      <c r="D133" s="63"/>
      <c r="E133" s="5" t="s">
        <v>571</v>
      </c>
      <c r="F133" s="33">
        <v>40.4983</v>
      </c>
      <c r="G133" s="33">
        <v>0</v>
      </c>
      <c r="H133" s="33">
        <f>F133*AO133</f>
        <v>0</v>
      </c>
      <c r="I133" s="33">
        <f>F133*AP133</f>
        <v>0</v>
      </c>
      <c r="J133" s="33">
        <f>F133*G133</f>
        <v>0</v>
      </c>
      <c r="K133" s="6" t="s">
        <v>416</v>
      </c>
      <c r="Z133" s="33">
        <f>IF(AQ133="5",BJ133,0)</f>
        <v>0</v>
      </c>
      <c r="AB133" s="33">
        <f>IF(AQ133="1",BH133,0)</f>
        <v>0</v>
      </c>
      <c r="AC133" s="33">
        <f>IF(AQ133="1",BI133,0)</f>
        <v>0</v>
      </c>
      <c r="AD133" s="33">
        <f>IF(AQ133="7",BH133,0)</f>
        <v>0</v>
      </c>
      <c r="AE133" s="33">
        <f>IF(AQ133="7",BI133,0)</f>
        <v>0</v>
      </c>
      <c r="AF133" s="33">
        <f>IF(AQ133="2",BH133,0)</f>
        <v>0</v>
      </c>
      <c r="AG133" s="33">
        <f>IF(AQ133="2",BI133,0)</f>
        <v>0</v>
      </c>
      <c r="AH133" s="33">
        <f>IF(AQ133="0",BJ133,0)</f>
        <v>0</v>
      </c>
      <c r="AI133" s="21" t="s">
        <v>421</v>
      </c>
      <c r="AJ133" s="33">
        <f>IF(AN133=0,J133,0)</f>
        <v>0</v>
      </c>
      <c r="AK133" s="33">
        <f>IF(AN133=15,J133,0)</f>
        <v>0</v>
      </c>
      <c r="AL133" s="33">
        <f>IF(AN133=21,J133,0)</f>
        <v>0</v>
      </c>
      <c r="AN133" s="33">
        <v>21</v>
      </c>
      <c r="AO133" s="33">
        <f>G133*0.239255662823843</f>
        <v>0</v>
      </c>
      <c r="AP133" s="33">
        <f>G133*(1-0.239255662823843)</f>
        <v>0</v>
      </c>
      <c r="AQ133" s="51" t="s">
        <v>578</v>
      </c>
      <c r="AV133" s="33">
        <f>AW133+AX133</f>
        <v>0</v>
      </c>
      <c r="AW133" s="33">
        <f>F133*AO133</f>
        <v>0</v>
      </c>
      <c r="AX133" s="33">
        <f>F133*AP133</f>
        <v>0</v>
      </c>
      <c r="AY133" s="51" t="s">
        <v>274</v>
      </c>
      <c r="AZ133" s="51" t="s">
        <v>79</v>
      </c>
      <c r="BA133" s="21" t="s">
        <v>457</v>
      </c>
      <c r="BC133" s="33">
        <f>AW133+AX133</f>
        <v>0</v>
      </c>
      <c r="BD133" s="33">
        <f>G133/(100-BE133)*100</f>
        <v>0</v>
      </c>
      <c r="BE133" s="33">
        <v>0</v>
      </c>
      <c r="BF133" s="33">
        <f>133</f>
        <v>133</v>
      </c>
      <c r="BH133" s="33">
        <f>F133*AO133</f>
        <v>0</v>
      </c>
      <c r="BI133" s="33">
        <f>F133*AP133</f>
        <v>0</v>
      </c>
      <c r="BJ133" s="33">
        <f>F133*G133</f>
        <v>0</v>
      </c>
      <c r="BK133" s="33"/>
      <c r="BL133" s="33">
        <v>62</v>
      </c>
      <c r="BW133" s="33">
        <v>21</v>
      </c>
    </row>
    <row r="134" spans="1:75" ht="15" customHeight="1">
      <c r="A134" s="45"/>
      <c r="C134" s="13" t="s">
        <v>614</v>
      </c>
      <c r="D134" s="13" t="s">
        <v>421</v>
      </c>
      <c r="F134" s="49">
        <v>40.4983</v>
      </c>
      <c r="K134" s="7"/>
    </row>
    <row r="135" spans="1:75" ht="15" customHeight="1">
      <c r="A135" s="54" t="s">
        <v>421</v>
      </c>
      <c r="B135" s="22" t="s">
        <v>35</v>
      </c>
      <c r="C135" s="79" t="s">
        <v>656</v>
      </c>
      <c r="D135" s="80"/>
      <c r="E135" s="3" t="s">
        <v>544</v>
      </c>
      <c r="F135" s="3" t="s">
        <v>544</v>
      </c>
      <c r="G135" s="3" t="s">
        <v>544</v>
      </c>
      <c r="H135" s="35">
        <f>SUM(H136:H136)</f>
        <v>0</v>
      </c>
      <c r="I135" s="35">
        <f>SUM(I136:I136)</f>
        <v>0</v>
      </c>
      <c r="J135" s="35">
        <f>SUM(J136:J136)</f>
        <v>0</v>
      </c>
      <c r="K135" s="16" t="s">
        <v>421</v>
      </c>
      <c r="AI135" s="21" t="s">
        <v>421</v>
      </c>
      <c r="AS135" s="35">
        <f>SUM(AJ136:AJ136)</f>
        <v>0</v>
      </c>
      <c r="AT135" s="35">
        <f>SUM(AK136:AK136)</f>
        <v>0</v>
      </c>
      <c r="AU135" s="35">
        <f>SUM(AL136:AL136)</f>
        <v>0</v>
      </c>
    </row>
    <row r="136" spans="1:75" ht="27" customHeight="1">
      <c r="A136" s="2" t="s">
        <v>599</v>
      </c>
      <c r="B136" s="5" t="s">
        <v>232</v>
      </c>
      <c r="C136" s="66" t="s">
        <v>551</v>
      </c>
      <c r="D136" s="63"/>
      <c r="E136" s="5" t="s">
        <v>571</v>
      </c>
      <c r="F136" s="33">
        <v>13.298999999999999</v>
      </c>
      <c r="G136" s="33">
        <v>0</v>
      </c>
      <c r="H136" s="33">
        <f>F136*AO136</f>
        <v>0</v>
      </c>
      <c r="I136" s="33">
        <f>F136*AP136</f>
        <v>0</v>
      </c>
      <c r="J136" s="33">
        <f>F136*G136</f>
        <v>0</v>
      </c>
      <c r="K136" s="6" t="s">
        <v>416</v>
      </c>
      <c r="Z136" s="33">
        <f>IF(AQ136="5",BJ136,0)</f>
        <v>0</v>
      </c>
      <c r="AB136" s="33">
        <f>IF(AQ136="1",BH136,0)</f>
        <v>0</v>
      </c>
      <c r="AC136" s="33">
        <f>IF(AQ136="1",BI136,0)</f>
        <v>0</v>
      </c>
      <c r="AD136" s="33">
        <f>IF(AQ136="7",BH136,0)</f>
        <v>0</v>
      </c>
      <c r="AE136" s="33">
        <f>IF(AQ136="7",BI136,0)</f>
        <v>0</v>
      </c>
      <c r="AF136" s="33">
        <f>IF(AQ136="2",BH136,0)</f>
        <v>0</v>
      </c>
      <c r="AG136" s="33">
        <f>IF(AQ136="2",BI136,0)</f>
        <v>0</v>
      </c>
      <c r="AH136" s="33">
        <f>IF(AQ136="0",BJ136,0)</f>
        <v>0</v>
      </c>
      <c r="AI136" s="21" t="s">
        <v>421</v>
      </c>
      <c r="AJ136" s="33">
        <f>IF(AN136=0,J136,0)</f>
        <v>0</v>
      </c>
      <c r="AK136" s="33">
        <f>IF(AN136=15,J136,0)</f>
        <v>0</v>
      </c>
      <c r="AL136" s="33">
        <f>IF(AN136=21,J136,0)</f>
        <v>0</v>
      </c>
      <c r="AN136" s="33">
        <v>21</v>
      </c>
      <c r="AO136" s="33">
        <f>G136*0.786771909388183</f>
        <v>0</v>
      </c>
      <c r="AP136" s="33">
        <f>G136*(1-0.786771909388183)</f>
        <v>0</v>
      </c>
      <c r="AQ136" s="51" t="s">
        <v>581</v>
      </c>
      <c r="AV136" s="33">
        <f>AW136+AX136</f>
        <v>0</v>
      </c>
      <c r="AW136" s="33">
        <f>F136*AO136</f>
        <v>0</v>
      </c>
      <c r="AX136" s="33">
        <f>F136*AP136</f>
        <v>0</v>
      </c>
      <c r="AY136" s="51" t="s">
        <v>511</v>
      </c>
      <c r="AZ136" s="51" t="s">
        <v>483</v>
      </c>
      <c r="BA136" s="21" t="s">
        <v>457</v>
      </c>
      <c r="BC136" s="33">
        <f>AW136+AX136</f>
        <v>0</v>
      </c>
      <c r="BD136" s="33">
        <f>G136/(100-BE136)*100</f>
        <v>0</v>
      </c>
      <c r="BE136" s="33">
        <v>0</v>
      </c>
      <c r="BF136" s="33">
        <f>136</f>
        <v>136</v>
      </c>
      <c r="BH136" s="33">
        <f>F136*AO136</f>
        <v>0</v>
      </c>
      <c r="BI136" s="33">
        <f>F136*AP136</f>
        <v>0</v>
      </c>
      <c r="BJ136" s="33">
        <f>F136*G136</f>
        <v>0</v>
      </c>
      <c r="BK136" s="33"/>
      <c r="BL136" s="33">
        <v>711</v>
      </c>
      <c r="BW136" s="33">
        <v>21</v>
      </c>
    </row>
    <row r="137" spans="1:75" ht="15" customHeight="1">
      <c r="A137" s="45"/>
      <c r="C137" s="13" t="s">
        <v>549</v>
      </c>
      <c r="D137" s="13" t="s">
        <v>421</v>
      </c>
      <c r="F137" s="49">
        <v>12.090000000000002</v>
      </c>
      <c r="K137" s="7"/>
    </row>
    <row r="138" spans="1:75" ht="15" customHeight="1">
      <c r="A138" s="45"/>
      <c r="C138" s="13" t="s">
        <v>181</v>
      </c>
      <c r="D138" s="13" t="s">
        <v>421</v>
      </c>
      <c r="F138" s="49">
        <v>1.2090000000000001</v>
      </c>
      <c r="K138" s="7"/>
    </row>
    <row r="139" spans="1:75" ht="15" customHeight="1">
      <c r="A139" s="54" t="s">
        <v>421</v>
      </c>
      <c r="B139" s="22" t="s">
        <v>280</v>
      </c>
      <c r="C139" s="79" t="s">
        <v>177</v>
      </c>
      <c r="D139" s="80"/>
      <c r="E139" s="3" t="s">
        <v>544</v>
      </c>
      <c r="F139" s="3" t="s">
        <v>544</v>
      </c>
      <c r="G139" s="3" t="s">
        <v>544</v>
      </c>
      <c r="H139" s="35">
        <f>SUM(H140:H140)</f>
        <v>0</v>
      </c>
      <c r="I139" s="35">
        <f>SUM(I140:I140)</f>
        <v>0</v>
      </c>
      <c r="J139" s="35">
        <f>SUM(J140:J140)</f>
        <v>0</v>
      </c>
      <c r="K139" s="16" t="s">
        <v>421</v>
      </c>
      <c r="AI139" s="21" t="s">
        <v>421</v>
      </c>
      <c r="AS139" s="35">
        <f>SUM(AJ140:AJ140)</f>
        <v>0</v>
      </c>
      <c r="AT139" s="35">
        <f>SUM(AK140:AK140)</f>
        <v>0</v>
      </c>
      <c r="AU139" s="35">
        <f>SUM(AL140:AL140)</f>
        <v>0</v>
      </c>
    </row>
    <row r="140" spans="1:75" ht="13.5" customHeight="1">
      <c r="A140" s="2" t="s">
        <v>42</v>
      </c>
      <c r="B140" s="5" t="s">
        <v>266</v>
      </c>
      <c r="C140" s="66" t="s">
        <v>621</v>
      </c>
      <c r="D140" s="63"/>
      <c r="E140" s="5" t="s">
        <v>147</v>
      </c>
      <c r="F140" s="33">
        <v>1</v>
      </c>
      <c r="G140" s="33">
        <v>0</v>
      </c>
      <c r="H140" s="33">
        <f>F140*AO140</f>
        <v>0</v>
      </c>
      <c r="I140" s="33">
        <f>F140*AP140</f>
        <v>0</v>
      </c>
      <c r="J140" s="33">
        <f>F140*G140</f>
        <v>0</v>
      </c>
      <c r="K140" s="6" t="s">
        <v>421</v>
      </c>
      <c r="Z140" s="33">
        <f>IF(AQ140="5",BJ140,0)</f>
        <v>0</v>
      </c>
      <c r="AB140" s="33">
        <f>IF(AQ140="1",BH140,0)</f>
        <v>0</v>
      </c>
      <c r="AC140" s="33">
        <f>IF(AQ140="1",BI140,0)</f>
        <v>0</v>
      </c>
      <c r="AD140" s="33">
        <f>IF(AQ140="7",BH140,0)</f>
        <v>0</v>
      </c>
      <c r="AE140" s="33">
        <f>IF(AQ140="7",BI140,0)</f>
        <v>0</v>
      </c>
      <c r="AF140" s="33">
        <f>IF(AQ140="2",BH140,0)</f>
        <v>0</v>
      </c>
      <c r="AG140" s="33">
        <f>IF(AQ140="2",BI140,0)</f>
        <v>0</v>
      </c>
      <c r="AH140" s="33">
        <f>IF(AQ140="0",BJ140,0)</f>
        <v>0</v>
      </c>
      <c r="AI140" s="21" t="s">
        <v>421</v>
      </c>
      <c r="AJ140" s="33">
        <f>IF(AN140=0,J140,0)</f>
        <v>0</v>
      </c>
      <c r="AK140" s="33">
        <f>IF(AN140=15,J140,0)</f>
        <v>0</v>
      </c>
      <c r="AL140" s="33">
        <f>IF(AN140=21,J140,0)</f>
        <v>0</v>
      </c>
      <c r="AN140" s="33">
        <v>21</v>
      </c>
      <c r="AO140" s="33">
        <f>G140*0.9</f>
        <v>0</v>
      </c>
      <c r="AP140" s="33">
        <f>G140*(1-0.9)</f>
        <v>0</v>
      </c>
      <c r="AQ140" s="51" t="s">
        <v>581</v>
      </c>
      <c r="AV140" s="33">
        <f>AW140+AX140</f>
        <v>0</v>
      </c>
      <c r="AW140" s="33">
        <f>F140*AO140</f>
        <v>0</v>
      </c>
      <c r="AX140" s="33">
        <f>F140*AP140</f>
        <v>0</v>
      </c>
      <c r="AY140" s="51" t="s">
        <v>168</v>
      </c>
      <c r="AZ140" s="51" t="s">
        <v>327</v>
      </c>
      <c r="BA140" s="21" t="s">
        <v>457</v>
      </c>
      <c r="BC140" s="33">
        <f>AW140+AX140</f>
        <v>0</v>
      </c>
      <c r="BD140" s="33">
        <f>G140/(100-BE140)*100</f>
        <v>0</v>
      </c>
      <c r="BE140" s="33">
        <v>0</v>
      </c>
      <c r="BF140" s="33">
        <f>140</f>
        <v>140</v>
      </c>
      <c r="BH140" s="33">
        <f>F140*AO140</f>
        <v>0</v>
      </c>
      <c r="BI140" s="33">
        <f>F140*AP140</f>
        <v>0</v>
      </c>
      <c r="BJ140" s="33">
        <f>F140*G140</f>
        <v>0</v>
      </c>
      <c r="BK140" s="33"/>
      <c r="BL140" s="33">
        <v>767</v>
      </c>
      <c r="BW140" s="33">
        <v>21</v>
      </c>
    </row>
    <row r="141" spans="1:75" ht="15" customHeight="1">
      <c r="A141" s="45"/>
      <c r="C141" s="13" t="s">
        <v>423</v>
      </c>
      <c r="D141" s="13" t="s">
        <v>421</v>
      </c>
      <c r="F141" s="49">
        <v>1</v>
      </c>
      <c r="K141" s="7"/>
    </row>
    <row r="142" spans="1:75" ht="15" customHeight="1">
      <c r="A142" s="54" t="s">
        <v>421</v>
      </c>
      <c r="B142" s="22" t="s">
        <v>640</v>
      </c>
      <c r="C142" s="79" t="s">
        <v>518</v>
      </c>
      <c r="D142" s="80"/>
      <c r="E142" s="3" t="s">
        <v>544</v>
      </c>
      <c r="F142" s="3" t="s">
        <v>544</v>
      </c>
      <c r="G142" s="3" t="s">
        <v>544</v>
      </c>
      <c r="H142" s="35">
        <f>SUM(H143:H155)</f>
        <v>0</v>
      </c>
      <c r="I142" s="35">
        <f>SUM(I143:I155)</f>
        <v>0</v>
      </c>
      <c r="J142" s="35">
        <f>SUM(J143:J155)</f>
        <v>0</v>
      </c>
      <c r="K142" s="16" t="s">
        <v>421</v>
      </c>
      <c r="AI142" s="21" t="s">
        <v>421</v>
      </c>
      <c r="AS142" s="35">
        <f>SUM(AJ143:AJ155)</f>
        <v>0</v>
      </c>
      <c r="AT142" s="35">
        <f>SUM(AK143:AK155)</f>
        <v>0</v>
      </c>
      <c r="AU142" s="35">
        <f>SUM(AL143:AL155)</f>
        <v>0</v>
      </c>
    </row>
    <row r="143" spans="1:75" ht="13.5" customHeight="1">
      <c r="A143" s="2" t="s">
        <v>462</v>
      </c>
      <c r="B143" s="5" t="s">
        <v>408</v>
      </c>
      <c r="C143" s="66" t="s">
        <v>275</v>
      </c>
      <c r="D143" s="63"/>
      <c r="E143" s="5" t="s">
        <v>571</v>
      </c>
      <c r="F143" s="33">
        <v>28.4</v>
      </c>
      <c r="G143" s="33">
        <v>0</v>
      </c>
      <c r="H143" s="33">
        <f>F143*AO143</f>
        <v>0</v>
      </c>
      <c r="I143" s="33">
        <f>F143*AP143</f>
        <v>0</v>
      </c>
      <c r="J143" s="33">
        <f>F143*G143</f>
        <v>0</v>
      </c>
      <c r="K143" s="6" t="s">
        <v>416</v>
      </c>
      <c r="Z143" s="33">
        <f>IF(AQ143="5",BJ143,0)</f>
        <v>0</v>
      </c>
      <c r="AB143" s="33">
        <f>IF(AQ143="1",BH143,0)</f>
        <v>0</v>
      </c>
      <c r="AC143" s="33">
        <f>IF(AQ143="1",BI143,0)</f>
        <v>0</v>
      </c>
      <c r="AD143" s="33">
        <f>IF(AQ143="7",BH143,0)</f>
        <v>0</v>
      </c>
      <c r="AE143" s="33">
        <f>IF(AQ143="7",BI143,0)</f>
        <v>0</v>
      </c>
      <c r="AF143" s="33">
        <f>IF(AQ143="2",BH143,0)</f>
        <v>0</v>
      </c>
      <c r="AG143" s="33">
        <f>IF(AQ143="2",BI143,0)</f>
        <v>0</v>
      </c>
      <c r="AH143" s="33">
        <f>IF(AQ143="0",BJ143,0)</f>
        <v>0</v>
      </c>
      <c r="AI143" s="21" t="s">
        <v>421</v>
      </c>
      <c r="AJ143" s="33">
        <f>IF(AN143=0,J143,0)</f>
        <v>0</v>
      </c>
      <c r="AK143" s="33">
        <f>IF(AN143=15,J143,0)</f>
        <v>0</v>
      </c>
      <c r="AL143" s="33">
        <f>IF(AN143=21,J143,0)</f>
        <v>0</v>
      </c>
      <c r="AN143" s="33">
        <v>21</v>
      </c>
      <c r="AO143" s="33">
        <f>G143*0.436432181932</f>
        <v>0</v>
      </c>
      <c r="AP143" s="33">
        <f>G143*(1-0.436432181932)</f>
        <v>0</v>
      </c>
      <c r="AQ143" s="51" t="s">
        <v>581</v>
      </c>
      <c r="AV143" s="33">
        <f>AW143+AX143</f>
        <v>0</v>
      </c>
      <c r="AW143" s="33">
        <f>F143*AO143</f>
        <v>0</v>
      </c>
      <c r="AX143" s="33">
        <f>F143*AP143</f>
        <v>0</v>
      </c>
      <c r="AY143" s="51" t="s">
        <v>595</v>
      </c>
      <c r="AZ143" s="51" t="s">
        <v>143</v>
      </c>
      <c r="BA143" s="21" t="s">
        <v>457</v>
      </c>
      <c r="BC143" s="33">
        <f>AW143+AX143</f>
        <v>0</v>
      </c>
      <c r="BD143" s="33">
        <f>G143/(100-BE143)*100</f>
        <v>0</v>
      </c>
      <c r="BE143" s="33">
        <v>0</v>
      </c>
      <c r="BF143" s="33">
        <f>143</f>
        <v>143</v>
      </c>
      <c r="BH143" s="33">
        <f>F143*AO143</f>
        <v>0</v>
      </c>
      <c r="BI143" s="33">
        <f>F143*AP143</f>
        <v>0</v>
      </c>
      <c r="BJ143" s="33">
        <f>F143*G143</f>
        <v>0</v>
      </c>
      <c r="BK143" s="33"/>
      <c r="BL143" s="33">
        <v>771</v>
      </c>
      <c r="BW143" s="33">
        <v>21</v>
      </c>
    </row>
    <row r="144" spans="1:75" ht="15" customHeight="1">
      <c r="A144" s="45"/>
      <c r="C144" s="13" t="s">
        <v>482</v>
      </c>
      <c r="D144" s="13" t="s">
        <v>421</v>
      </c>
      <c r="F144" s="49">
        <v>9.9</v>
      </c>
      <c r="K144" s="7"/>
    </row>
    <row r="145" spans="1:75" ht="15" customHeight="1">
      <c r="A145" s="45"/>
      <c r="C145" s="13" t="s">
        <v>558</v>
      </c>
      <c r="D145" s="13" t="s">
        <v>421</v>
      </c>
      <c r="F145" s="49">
        <v>18.5</v>
      </c>
      <c r="K145" s="7"/>
    </row>
    <row r="146" spans="1:75" ht="15" customHeight="1">
      <c r="A146" s="45"/>
      <c r="C146" s="13" t="s">
        <v>436</v>
      </c>
      <c r="D146" s="13" t="s">
        <v>421</v>
      </c>
      <c r="F146" s="49">
        <v>0</v>
      </c>
      <c r="K146" s="7"/>
    </row>
    <row r="147" spans="1:75" ht="13.5" customHeight="1">
      <c r="A147" s="2" t="s">
        <v>487</v>
      </c>
      <c r="B147" s="5" t="s">
        <v>184</v>
      </c>
      <c r="C147" s="66" t="s">
        <v>21</v>
      </c>
      <c r="D147" s="63"/>
      <c r="E147" s="5" t="s">
        <v>571</v>
      </c>
      <c r="F147" s="33">
        <v>28.4</v>
      </c>
      <c r="G147" s="33">
        <v>0</v>
      </c>
      <c r="H147" s="33">
        <f>F147*AO147</f>
        <v>0</v>
      </c>
      <c r="I147" s="33">
        <f>F147*AP147</f>
        <v>0</v>
      </c>
      <c r="J147" s="33">
        <f>F147*G147</f>
        <v>0</v>
      </c>
      <c r="K147" s="6" t="s">
        <v>416</v>
      </c>
      <c r="Z147" s="33">
        <f>IF(AQ147="5",BJ147,0)</f>
        <v>0</v>
      </c>
      <c r="AB147" s="33">
        <f>IF(AQ147="1",BH147,0)</f>
        <v>0</v>
      </c>
      <c r="AC147" s="33">
        <f>IF(AQ147="1",BI147,0)</f>
        <v>0</v>
      </c>
      <c r="AD147" s="33">
        <f>IF(AQ147="7",BH147,0)</f>
        <v>0</v>
      </c>
      <c r="AE147" s="33">
        <f>IF(AQ147="7",BI147,0)</f>
        <v>0</v>
      </c>
      <c r="AF147" s="33">
        <f>IF(AQ147="2",BH147,0)</f>
        <v>0</v>
      </c>
      <c r="AG147" s="33">
        <f>IF(AQ147="2",BI147,0)</f>
        <v>0</v>
      </c>
      <c r="AH147" s="33">
        <f>IF(AQ147="0",BJ147,0)</f>
        <v>0</v>
      </c>
      <c r="AI147" s="21" t="s">
        <v>421</v>
      </c>
      <c r="AJ147" s="33">
        <f>IF(AN147=0,J147,0)</f>
        <v>0</v>
      </c>
      <c r="AK147" s="33">
        <f>IF(AN147=15,J147,0)</f>
        <v>0</v>
      </c>
      <c r="AL147" s="33">
        <f>IF(AN147=21,J147,0)</f>
        <v>0</v>
      </c>
      <c r="AN147" s="33">
        <v>21</v>
      </c>
      <c r="AO147" s="33">
        <f>G147*0.428239959750215</f>
        <v>0</v>
      </c>
      <c r="AP147" s="33">
        <f>G147*(1-0.428239959750215)</f>
        <v>0</v>
      </c>
      <c r="AQ147" s="51" t="s">
        <v>581</v>
      </c>
      <c r="AV147" s="33">
        <f>AW147+AX147</f>
        <v>0</v>
      </c>
      <c r="AW147" s="33">
        <f>F147*AO147</f>
        <v>0</v>
      </c>
      <c r="AX147" s="33">
        <f>F147*AP147</f>
        <v>0</v>
      </c>
      <c r="AY147" s="51" t="s">
        <v>595</v>
      </c>
      <c r="AZ147" s="51" t="s">
        <v>143</v>
      </c>
      <c r="BA147" s="21" t="s">
        <v>457</v>
      </c>
      <c r="BC147" s="33">
        <f>AW147+AX147</f>
        <v>0</v>
      </c>
      <c r="BD147" s="33">
        <f>G147/(100-BE147)*100</f>
        <v>0</v>
      </c>
      <c r="BE147" s="33">
        <v>0</v>
      </c>
      <c r="BF147" s="33">
        <f>147</f>
        <v>147</v>
      </c>
      <c r="BH147" s="33">
        <f>F147*AO147</f>
        <v>0</v>
      </c>
      <c r="BI147" s="33">
        <f>F147*AP147</f>
        <v>0</v>
      </c>
      <c r="BJ147" s="33">
        <f>F147*G147</f>
        <v>0</v>
      </c>
      <c r="BK147" s="33"/>
      <c r="BL147" s="33">
        <v>771</v>
      </c>
      <c r="BW147" s="33">
        <v>21</v>
      </c>
    </row>
    <row r="148" spans="1:75" ht="15" customHeight="1">
      <c r="A148" s="45"/>
      <c r="C148" s="13" t="s">
        <v>306</v>
      </c>
      <c r="D148" s="13" t="s">
        <v>421</v>
      </c>
      <c r="F148" s="49">
        <v>28.400000000000002</v>
      </c>
      <c r="K148" s="7"/>
    </row>
    <row r="149" spans="1:75" ht="15" customHeight="1">
      <c r="A149" s="45"/>
      <c r="C149" s="13" t="s">
        <v>436</v>
      </c>
      <c r="D149" s="13" t="s">
        <v>421</v>
      </c>
      <c r="F149" s="49">
        <v>0</v>
      </c>
      <c r="K149" s="7"/>
    </row>
    <row r="150" spans="1:75" ht="13.5" customHeight="1">
      <c r="A150" s="2" t="s">
        <v>261</v>
      </c>
      <c r="B150" s="5" t="s">
        <v>313</v>
      </c>
      <c r="C150" s="66" t="s">
        <v>259</v>
      </c>
      <c r="D150" s="63"/>
      <c r="E150" s="5" t="s">
        <v>571</v>
      </c>
      <c r="F150" s="33">
        <v>28.4</v>
      </c>
      <c r="G150" s="33">
        <v>0</v>
      </c>
      <c r="H150" s="33">
        <f>F150*AO150</f>
        <v>0</v>
      </c>
      <c r="I150" s="33">
        <f>F150*AP150</f>
        <v>0</v>
      </c>
      <c r="J150" s="33">
        <f>F150*G150</f>
        <v>0</v>
      </c>
      <c r="K150" s="6" t="s">
        <v>416</v>
      </c>
      <c r="Z150" s="33">
        <f>IF(AQ150="5",BJ150,0)</f>
        <v>0</v>
      </c>
      <c r="AB150" s="33">
        <f>IF(AQ150="1",BH150,0)</f>
        <v>0</v>
      </c>
      <c r="AC150" s="33">
        <f>IF(AQ150="1",BI150,0)</f>
        <v>0</v>
      </c>
      <c r="AD150" s="33">
        <f>IF(AQ150="7",BH150,0)</f>
        <v>0</v>
      </c>
      <c r="AE150" s="33">
        <f>IF(AQ150="7",BI150,0)</f>
        <v>0</v>
      </c>
      <c r="AF150" s="33">
        <f>IF(AQ150="2",BH150,0)</f>
        <v>0</v>
      </c>
      <c r="AG150" s="33">
        <f>IF(AQ150="2",BI150,0)</f>
        <v>0</v>
      </c>
      <c r="AH150" s="33">
        <f>IF(AQ150="0",BJ150,0)</f>
        <v>0</v>
      </c>
      <c r="AI150" s="21" t="s">
        <v>421</v>
      </c>
      <c r="AJ150" s="33">
        <f>IF(AN150=0,J150,0)</f>
        <v>0</v>
      </c>
      <c r="AK150" s="33">
        <f>IF(AN150=15,J150,0)</f>
        <v>0</v>
      </c>
      <c r="AL150" s="33">
        <f>IF(AN150=21,J150,0)</f>
        <v>0</v>
      </c>
      <c r="AN150" s="33">
        <v>21</v>
      </c>
      <c r="AO150" s="33">
        <f>G150*0.169764150943396</f>
        <v>0</v>
      </c>
      <c r="AP150" s="33">
        <f>G150*(1-0.169764150943396)</f>
        <v>0</v>
      </c>
      <c r="AQ150" s="51" t="s">
        <v>581</v>
      </c>
      <c r="AV150" s="33">
        <f>AW150+AX150</f>
        <v>0</v>
      </c>
      <c r="AW150" s="33">
        <f>F150*AO150</f>
        <v>0</v>
      </c>
      <c r="AX150" s="33">
        <f>F150*AP150</f>
        <v>0</v>
      </c>
      <c r="AY150" s="51" t="s">
        <v>595</v>
      </c>
      <c r="AZ150" s="51" t="s">
        <v>143</v>
      </c>
      <c r="BA150" s="21" t="s">
        <v>457</v>
      </c>
      <c r="BC150" s="33">
        <f>AW150+AX150</f>
        <v>0</v>
      </c>
      <c r="BD150" s="33">
        <f>G150/(100-BE150)*100</f>
        <v>0</v>
      </c>
      <c r="BE150" s="33">
        <v>0</v>
      </c>
      <c r="BF150" s="33">
        <f>150</f>
        <v>150</v>
      </c>
      <c r="BH150" s="33">
        <f>F150*AO150</f>
        <v>0</v>
      </c>
      <c r="BI150" s="33">
        <f>F150*AP150</f>
        <v>0</v>
      </c>
      <c r="BJ150" s="33">
        <f>F150*G150</f>
        <v>0</v>
      </c>
      <c r="BK150" s="33"/>
      <c r="BL150" s="33">
        <v>771</v>
      </c>
      <c r="BW150" s="33">
        <v>21</v>
      </c>
    </row>
    <row r="151" spans="1:75" ht="15" customHeight="1">
      <c r="A151" s="45"/>
      <c r="C151" s="13" t="s">
        <v>306</v>
      </c>
      <c r="D151" s="13" t="s">
        <v>421</v>
      </c>
      <c r="F151" s="49">
        <v>28.400000000000002</v>
      </c>
      <c r="K151" s="7"/>
    </row>
    <row r="152" spans="1:75" ht="15" customHeight="1">
      <c r="A152" s="45"/>
      <c r="C152" s="13" t="s">
        <v>436</v>
      </c>
      <c r="D152" s="13" t="s">
        <v>421</v>
      </c>
      <c r="F152" s="49">
        <v>0</v>
      </c>
      <c r="K152" s="7"/>
    </row>
    <row r="153" spans="1:75" ht="13.5" customHeight="1">
      <c r="A153" s="2" t="s">
        <v>257</v>
      </c>
      <c r="B153" s="5" t="s">
        <v>158</v>
      </c>
      <c r="C153" s="66" t="s">
        <v>655</v>
      </c>
      <c r="D153" s="63"/>
      <c r="E153" s="5" t="s">
        <v>571</v>
      </c>
      <c r="F153" s="33">
        <v>30</v>
      </c>
      <c r="G153" s="33">
        <v>0</v>
      </c>
      <c r="H153" s="33">
        <f>F153*AO153</f>
        <v>0</v>
      </c>
      <c r="I153" s="33">
        <f>F153*AP153</f>
        <v>0</v>
      </c>
      <c r="J153" s="33">
        <f>F153*G153</f>
        <v>0</v>
      </c>
      <c r="K153" s="6" t="s">
        <v>421</v>
      </c>
      <c r="Z153" s="33">
        <f>IF(AQ153="5",BJ153,0)</f>
        <v>0</v>
      </c>
      <c r="AB153" s="33">
        <f>IF(AQ153="1",BH153,0)</f>
        <v>0</v>
      </c>
      <c r="AC153" s="33">
        <f>IF(AQ153="1",BI153,0)</f>
        <v>0</v>
      </c>
      <c r="AD153" s="33">
        <f>IF(AQ153="7",BH153,0)</f>
        <v>0</v>
      </c>
      <c r="AE153" s="33">
        <f>IF(AQ153="7",BI153,0)</f>
        <v>0</v>
      </c>
      <c r="AF153" s="33">
        <f>IF(AQ153="2",BH153,0)</f>
        <v>0</v>
      </c>
      <c r="AG153" s="33">
        <f>IF(AQ153="2",BI153,0)</f>
        <v>0</v>
      </c>
      <c r="AH153" s="33">
        <f>IF(AQ153="0",BJ153,0)</f>
        <v>0</v>
      </c>
      <c r="AI153" s="21" t="s">
        <v>421</v>
      </c>
      <c r="AJ153" s="33">
        <f>IF(AN153=0,J153,0)</f>
        <v>0</v>
      </c>
      <c r="AK153" s="33">
        <f>IF(AN153=15,J153,0)</f>
        <v>0</v>
      </c>
      <c r="AL153" s="33">
        <f>IF(AN153=21,J153,0)</f>
        <v>0</v>
      </c>
      <c r="AN153" s="33">
        <v>21</v>
      </c>
      <c r="AO153" s="33">
        <f>G153*1</f>
        <v>0</v>
      </c>
      <c r="AP153" s="33">
        <f>G153*(1-1)</f>
        <v>0</v>
      </c>
      <c r="AQ153" s="51" t="s">
        <v>581</v>
      </c>
      <c r="AV153" s="33">
        <f>AW153+AX153</f>
        <v>0</v>
      </c>
      <c r="AW153" s="33">
        <f>F153*AO153</f>
        <v>0</v>
      </c>
      <c r="AX153" s="33">
        <f>F153*AP153</f>
        <v>0</v>
      </c>
      <c r="AY153" s="51" t="s">
        <v>595</v>
      </c>
      <c r="AZ153" s="51" t="s">
        <v>143</v>
      </c>
      <c r="BA153" s="21" t="s">
        <v>457</v>
      </c>
      <c r="BC153" s="33">
        <f>AW153+AX153</f>
        <v>0</v>
      </c>
      <c r="BD153" s="33">
        <f>G153/(100-BE153)*100</f>
        <v>0</v>
      </c>
      <c r="BE153" s="33">
        <v>0</v>
      </c>
      <c r="BF153" s="33">
        <f>153</f>
        <v>153</v>
      </c>
      <c r="BH153" s="33">
        <f>F153*AO153</f>
        <v>0</v>
      </c>
      <c r="BI153" s="33">
        <f>F153*AP153</f>
        <v>0</v>
      </c>
      <c r="BJ153" s="33">
        <f>F153*G153</f>
        <v>0</v>
      </c>
      <c r="BK153" s="33"/>
      <c r="BL153" s="33">
        <v>771</v>
      </c>
      <c r="BW153" s="33">
        <v>21</v>
      </c>
    </row>
    <row r="154" spans="1:75" ht="15" customHeight="1">
      <c r="A154" s="45"/>
      <c r="C154" s="13" t="s">
        <v>310</v>
      </c>
      <c r="D154" s="13" t="s">
        <v>421</v>
      </c>
      <c r="F154" s="49">
        <v>30.000000000000004</v>
      </c>
      <c r="K154" s="7"/>
    </row>
    <row r="155" spans="1:75" ht="13.5" customHeight="1">
      <c r="A155" s="2" t="s">
        <v>290</v>
      </c>
      <c r="B155" s="5" t="s">
        <v>122</v>
      </c>
      <c r="C155" s="66" t="s">
        <v>194</v>
      </c>
      <c r="D155" s="63"/>
      <c r="E155" s="5" t="s">
        <v>571</v>
      </c>
      <c r="F155" s="33">
        <v>28.4</v>
      </c>
      <c r="G155" s="33">
        <v>0</v>
      </c>
      <c r="H155" s="33">
        <f>F155*AO155</f>
        <v>0</v>
      </c>
      <c r="I155" s="33">
        <f>F155*AP155</f>
        <v>0</v>
      </c>
      <c r="J155" s="33">
        <f>F155*G155</f>
        <v>0</v>
      </c>
      <c r="K155" s="6" t="s">
        <v>416</v>
      </c>
      <c r="Z155" s="33">
        <f>IF(AQ155="5",BJ155,0)</f>
        <v>0</v>
      </c>
      <c r="AB155" s="33">
        <f>IF(AQ155="1",BH155,0)</f>
        <v>0</v>
      </c>
      <c r="AC155" s="33">
        <f>IF(AQ155="1",BI155,0)</f>
        <v>0</v>
      </c>
      <c r="AD155" s="33">
        <f>IF(AQ155="7",BH155,0)</f>
        <v>0</v>
      </c>
      <c r="AE155" s="33">
        <f>IF(AQ155="7",BI155,0)</f>
        <v>0</v>
      </c>
      <c r="AF155" s="33">
        <f>IF(AQ155="2",BH155,0)</f>
        <v>0</v>
      </c>
      <c r="AG155" s="33">
        <f>IF(AQ155="2",BI155,0)</f>
        <v>0</v>
      </c>
      <c r="AH155" s="33">
        <f>IF(AQ155="0",BJ155,0)</f>
        <v>0</v>
      </c>
      <c r="AI155" s="21" t="s">
        <v>421</v>
      </c>
      <c r="AJ155" s="33">
        <f>IF(AN155=0,J155,0)</f>
        <v>0</v>
      </c>
      <c r="AK155" s="33">
        <f>IF(AN155=15,J155,0)</f>
        <v>0</v>
      </c>
      <c r="AL155" s="33">
        <f>IF(AN155=21,J155,0)</f>
        <v>0</v>
      </c>
      <c r="AN155" s="33">
        <v>21</v>
      </c>
      <c r="AO155" s="33">
        <f>G155*0</f>
        <v>0</v>
      </c>
      <c r="AP155" s="33">
        <f>G155*(1-0)</f>
        <v>0</v>
      </c>
      <c r="AQ155" s="51" t="s">
        <v>581</v>
      </c>
      <c r="AV155" s="33">
        <f>AW155+AX155</f>
        <v>0</v>
      </c>
      <c r="AW155" s="33">
        <f>F155*AO155</f>
        <v>0</v>
      </c>
      <c r="AX155" s="33">
        <f>F155*AP155</f>
        <v>0</v>
      </c>
      <c r="AY155" s="51" t="s">
        <v>595</v>
      </c>
      <c r="AZ155" s="51" t="s">
        <v>143</v>
      </c>
      <c r="BA155" s="21" t="s">
        <v>457</v>
      </c>
      <c r="BC155" s="33">
        <f>AW155+AX155</f>
        <v>0</v>
      </c>
      <c r="BD155" s="33">
        <f>G155/(100-BE155)*100</f>
        <v>0</v>
      </c>
      <c r="BE155" s="33">
        <v>0</v>
      </c>
      <c r="BF155" s="33">
        <f>155</f>
        <v>155</v>
      </c>
      <c r="BH155" s="33">
        <f>F155*AO155</f>
        <v>0</v>
      </c>
      <c r="BI155" s="33">
        <f>F155*AP155</f>
        <v>0</v>
      </c>
      <c r="BJ155" s="33">
        <f>F155*G155</f>
        <v>0</v>
      </c>
      <c r="BK155" s="33"/>
      <c r="BL155" s="33">
        <v>771</v>
      </c>
      <c r="BW155" s="33">
        <v>21</v>
      </c>
    </row>
    <row r="156" spans="1:75" ht="15" customHeight="1">
      <c r="A156" s="45"/>
      <c r="C156" s="13" t="s">
        <v>482</v>
      </c>
      <c r="D156" s="13" t="s">
        <v>421</v>
      </c>
      <c r="F156" s="49">
        <v>9.9</v>
      </c>
      <c r="K156" s="7"/>
    </row>
    <row r="157" spans="1:75" ht="15" customHeight="1">
      <c r="A157" s="45"/>
      <c r="C157" s="13" t="s">
        <v>558</v>
      </c>
      <c r="D157" s="13" t="s">
        <v>421</v>
      </c>
      <c r="F157" s="49">
        <v>18.5</v>
      </c>
      <c r="K157" s="7"/>
    </row>
    <row r="158" spans="1:75" ht="15" customHeight="1">
      <c r="A158" s="54" t="s">
        <v>421</v>
      </c>
      <c r="B158" s="22" t="s">
        <v>480</v>
      </c>
      <c r="C158" s="79" t="s">
        <v>267</v>
      </c>
      <c r="D158" s="80"/>
      <c r="E158" s="3" t="s">
        <v>544</v>
      </c>
      <c r="F158" s="3" t="s">
        <v>544</v>
      </c>
      <c r="G158" s="3" t="s">
        <v>544</v>
      </c>
      <c r="H158" s="35">
        <f>SUM(H159:H159)</f>
        <v>0</v>
      </c>
      <c r="I158" s="35">
        <f>SUM(I159:I159)</f>
        <v>0</v>
      </c>
      <c r="J158" s="35">
        <f>SUM(J159:J159)</f>
        <v>0</v>
      </c>
      <c r="K158" s="16" t="s">
        <v>421</v>
      </c>
      <c r="AI158" s="21" t="s">
        <v>421</v>
      </c>
      <c r="AS158" s="35">
        <f>SUM(AJ159:AJ159)</f>
        <v>0</v>
      </c>
      <c r="AT158" s="35">
        <f>SUM(AK159:AK159)</f>
        <v>0</v>
      </c>
      <c r="AU158" s="35">
        <f>SUM(AL159:AL159)</f>
        <v>0</v>
      </c>
    </row>
    <row r="159" spans="1:75" ht="13.5" customHeight="1">
      <c r="A159" s="2" t="s">
        <v>543</v>
      </c>
      <c r="B159" s="5" t="s">
        <v>295</v>
      </c>
      <c r="C159" s="66" t="s">
        <v>156</v>
      </c>
      <c r="D159" s="63"/>
      <c r="E159" s="5" t="s">
        <v>571</v>
      </c>
      <c r="F159" s="33">
        <v>8.8559999999999999</v>
      </c>
      <c r="G159" s="33">
        <v>0</v>
      </c>
      <c r="H159" s="33">
        <f>F159*AO159</f>
        <v>0</v>
      </c>
      <c r="I159" s="33">
        <f>F159*AP159</f>
        <v>0</v>
      </c>
      <c r="J159" s="33">
        <f>F159*G159</f>
        <v>0</v>
      </c>
      <c r="K159" s="6" t="s">
        <v>421</v>
      </c>
      <c r="Z159" s="33">
        <f>IF(AQ159="5",BJ159,0)</f>
        <v>0</v>
      </c>
      <c r="AB159" s="33">
        <f>IF(AQ159="1",BH159,0)</f>
        <v>0</v>
      </c>
      <c r="AC159" s="33">
        <f>IF(AQ159="1",BI159,0)</f>
        <v>0</v>
      </c>
      <c r="AD159" s="33">
        <f>IF(AQ159="7",BH159,0)</f>
        <v>0</v>
      </c>
      <c r="AE159" s="33">
        <f>IF(AQ159="7",BI159,0)</f>
        <v>0</v>
      </c>
      <c r="AF159" s="33">
        <f>IF(AQ159="2",BH159,0)</f>
        <v>0</v>
      </c>
      <c r="AG159" s="33">
        <f>IF(AQ159="2",BI159,0)</f>
        <v>0</v>
      </c>
      <c r="AH159" s="33">
        <f>IF(AQ159="0",BJ159,0)</f>
        <v>0</v>
      </c>
      <c r="AI159" s="21" t="s">
        <v>421</v>
      </c>
      <c r="AJ159" s="33">
        <f>IF(AN159=0,J159,0)</f>
        <v>0</v>
      </c>
      <c r="AK159" s="33">
        <f>IF(AN159=15,J159,0)</f>
        <v>0</v>
      </c>
      <c r="AL159" s="33">
        <f>IF(AN159=21,J159,0)</f>
        <v>0</v>
      </c>
      <c r="AN159" s="33">
        <v>21</v>
      </c>
      <c r="AO159" s="33">
        <f>G159*0.595238095238095</f>
        <v>0</v>
      </c>
      <c r="AP159" s="33">
        <f>G159*(1-0.595238095238095)</f>
        <v>0</v>
      </c>
      <c r="AQ159" s="51" t="s">
        <v>581</v>
      </c>
      <c r="AV159" s="33">
        <f>AW159+AX159</f>
        <v>0</v>
      </c>
      <c r="AW159" s="33">
        <f>F159*AO159</f>
        <v>0</v>
      </c>
      <c r="AX159" s="33">
        <f>F159*AP159</f>
        <v>0</v>
      </c>
      <c r="AY159" s="51" t="s">
        <v>279</v>
      </c>
      <c r="AZ159" s="51" t="s">
        <v>272</v>
      </c>
      <c r="BA159" s="21" t="s">
        <v>457</v>
      </c>
      <c r="BC159" s="33">
        <f>AW159+AX159</f>
        <v>0</v>
      </c>
      <c r="BD159" s="33">
        <f>G159/(100-BE159)*100</f>
        <v>0</v>
      </c>
      <c r="BE159" s="33">
        <v>0</v>
      </c>
      <c r="BF159" s="33">
        <f>159</f>
        <v>159</v>
      </c>
      <c r="BH159" s="33">
        <f>F159*AO159</f>
        <v>0</v>
      </c>
      <c r="BI159" s="33">
        <f>F159*AP159</f>
        <v>0</v>
      </c>
      <c r="BJ159" s="33">
        <f>F159*G159</f>
        <v>0</v>
      </c>
      <c r="BK159" s="33"/>
      <c r="BL159" s="33">
        <v>781</v>
      </c>
      <c r="BW159" s="33">
        <v>21</v>
      </c>
    </row>
    <row r="160" spans="1:75" ht="15" customHeight="1">
      <c r="A160" s="45"/>
      <c r="C160" s="13" t="s">
        <v>47</v>
      </c>
      <c r="D160" s="13" t="s">
        <v>421</v>
      </c>
      <c r="F160" s="49">
        <v>8.8559999999999999</v>
      </c>
      <c r="K160" s="7"/>
    </row>
    <row r="161" spans="1:75" ht="15" customHeight="1">
      <c r="A161" s="45"/>
      <c r="C161" s="13" t="s">
        <v>657</v>
      </c>
      <c r="D161" s="13" t="s">
        <v>421</v>
      </c>
      <c r="F161" s="49">
        <v>0</v>
      </c>
      <c r="K161" s="7"/>
    </row>
    <row r="162" spans="1:75" ht="15" customHeight="1">
      <c r="A162" s="45"/>
      <c r="C162" s="13" t="s">
        <v>185</v>
      </c>
      <c r="D162" s="13" t="s">
        <v>421</v>
      </c>
      <c r="F162" s="49">
        <v>0</v>
      </c>
      <c r="K162" s="7"/>
    </row>
    <row r="163" spans="1:75" ht="15" customHeight="1">
      <c r="A163" s="54" t="s">
        <v>421</v>
      </c>
      <c r="B163" s="22" t="s">
        <v>343</v>
      </c>
      <c r="C163" s="79" t="s">
        <v>472</v>
      </c>
      <c r="D163" s="80"/>
      <c r="E163" s="3" t="s">
        <v>544</v>
      </c>
      <c r="F163" s="3" t="s">
        <v>544</v>
      </c>
      <c r="G163" s="3" t="s">
        <v>544</v>
      </c>
      <c r="H163" s="35">
        <f>SUM(H164:H174)</f>
        <v>0</v>
      </c>
      <c r="I163" s="35">
        <f>SUM(I164:I174)</f>
        <v>0</v>
      </c>
      <c r="J163" s="35">
        <f>SUM(J164:J174)</f>
        <v>0</v>
      </c>
      <c r="K163" s="16" t="s">
        <v>421</v>
      </c>
      <c r="AI163" s="21" t="s">
        <v>421</v>
      </c>
      <c r="AS163" s="35">
        <f>SUM(AJ164:AJ174)</f>
        <v>0</v>
      </c>
      <c r="AT163" s="35">
        <f>SUM(AK164:AK174)</f>
        <v>0</v>
      </c>
      <c r="AU163" s="35">
        <f>SUM(AL164:AL174)</f>
        <v>0</v>
      </c>
    </row>
    <row r="164" spans="1:75" ht="13.5" customHeight="1">
      <c r="A164" s="2" t="s">
        <v>401</v>
      </c>
      <c r="B164" s="5" t="s">
        <v>339</v>
      </c>
      <c r="C164" s="66" t="s">
        <v>319</v>
      </c>
      <c r="D164" s="63"/>
      <c r="E164" s="5" t="s">
        <v>571</v>
      </c>
      <c r="F164" s="33">
        <v>11.138999999999999</v>
      </c>
      <c r="G164" s="33">
        <v>0</v>
      </c>
      <c r="H164" s="33">
        <f>F164*AO164</f>
        <v>0</v>
      </c>
      <c r="I164" s="33">
        <f>F164*AP164</f>
        <v>0</v>
      </c>
      <c r="J164" s="33">
        <f>F164*G164</f>
        <v>0</v>
      </c>
      <c r="K164" s="6" t="s">
        <v>416</v>
      </c>
      <c r="Z164" s="33">
        <f>IF(AQ164="5",BJ164,0)</f>
        <v>0</v>
      </c>
      <c r="AB164" s="33">
        <f>IF(AQ164="1",BH164,0)</f>
        <v>0</v>
      </c>
      <c r="AC164" s="33">
        <f>IF(AQ164="1",BI164,0)</f>
        <v>0</v>
      </c>
      <c r="AD164" s="33">
        <f>IF(AQ164="7",BH164,0)</f>
        <v>0</v>
      </c>
      <c r="AE164" s="33">
        <f>IF(AQ164="7",BI164,0)</f>
        <v>0</v>
      </c>
      <c r="AF164" s="33">
        <f>IF(AQ164="2",BH164,0)</f>
        <v>0</v>
      </c>
      <c r="AG164" s="33">
        <f>IF(AQ164="2",BI164,0)</f>
        <v>0</v>
      </c>
      <c r="AH164" s="33">
        <f>IF(AQ164="0",BJ164,0)</f>
        <v>0</v>
      </c>
      <c r="AI164" s="21" t="s">
        <v>421</v>
      </c>
      <c r="AJ164" s="33">
        <f>IF(AN164=0,J164,0)</f>
        <v>0</v>
      </c>
      <c r="AK164" s="33">
        <f>IF(AN164=15,J164,0)</f>
        <v>0</v>
      </c>
      <c r="AL164" s="33">
        <f>IF(AN164=21,J164,0)</f>
        <v>0</v>
      </c>
      <c r="AN164" s="33">
        <v>21</v>
      </c>
      <c r="AO164" s="33">
        <f>G164*0.289127894346288</f>
        <v>0</v>
      </c>
      <c r="AP164" s="33">
        <f>G164*(1-0.289127894346288)</f>
        <v>0</v>
      </c>
      <c r="AQ164" s="51" t="s">
        <v>581</v>
      </c>
      <c r="AV164" s="33">
        <f>AW164+AX164</f>
        <v>0</v>
      </c>
      <c r="AW164" s="33">
        <f>F164*AO164</f>
        <v>0</v>
      </c>
      <c r="AX164" s="33">
        <f>F164*AP164</f>
        <v>0</v>
      </c>
      <c r="AY164" s="51" t="s">
        <v>142</v>
      </c>
      <c r="AZ164" s="51" t="s">
        <v>272</v>
      </c>
      <c r="BA164" s="21" t="s">
        <v>457</v>
      </c>
      <c r="BC164" s="33">
        <f>AW164+AX164</f>
        <v>0</v>
      </c>
      <c r="BD164" s="33">
        <f>G164/(100-BE164)*100</f>
        <v>0</v>
      </c>
      <c r="BE164" s="33">
        <v>0</v>
      </c>
      <c r="BF164" s="33">
        <f>164</f>
        <v>164</v>
      </c>
      <c r="BH164" s="33">
        <f>F164*AO164</f>
        <v>0</v>
      </c>
      <c r="BI164" s="33">
        <f>F164*AP164</f>
        <v>0</v>
      </c>
      <c r="BJ164" s="33">
        <f>F164*G164</f>
        <v>0</v>
      </c>
      <c r="BK164" s="33"/>
      <c r="BL164" s="33">
        <v>783</v>
      </c>
      <c r="BW164" s="33">
        <v>21</v>
      </c>
    </row>
    <row r="165" spans="1:75" ht="15" customHeight="1">
      <c r="A165" s="45"/>
      <c r="C165" s="13" t="s">
        <v>402</v>
      </c>
      <c r="D165" s="13" t="s">
        <v>421</v>
      </c>
      <c r="F165" s="49">
        <v>11.139000000000001</v>
      </c>
      <c r="K165" s="7"/>
    </row>
    <row r="166" spans="1:75" ht="13.5" customHeight="1">
      <c r="A166" s="2" t="s">
        <v>380</v>
      </c>
      <c r="B166" s="5" t="s">
        <v>473</v>
      </c>
      <c r="C166" s="66" t="s">
        <v>169</v>
      </c>
      <c r="D166" s="63"/>
      <c r="E166" s="5" t="s">
        <v>571</v>
      </c>
      <c r="F166" s="33">
        <v>4.6500000000000004</v>
      </c>
      <c r="G166" s="33">
        <v>0</v>
      </c>
      <c r="H166" s="33">
        <f>F166*AO166</f>
        <v>0</v>
      </c>
      <c r="I166" s="33">
        <f>F166*AP166</f>
        <v>0</v>
      </c>
      <c r="J166" s="33">
        <f>F166*G166</f>
        <v>0</v>
      </c>
      <c r="K166" s="6" t="s">
        <v>416</v>
      </c>
      <c r="Z166" s="33">
        <f>IF(AQ166="5",BJ166,0)</f>
        <v>0</v>
      </c>
      <c r="AB166" s="33">
        <f>IF(AQ166="1",BH166,0)</f>
        <v>0</v>
      </c>
      <c r="AC166" s="33">
        <f>IF(AQ166="1",BI166,0)</f>
        <v>0</v>
      </c>
      <c r="AD166" s="33">
        <f>IF(AQ166="7",BH166,0)</f>
        <v>0</v>
      </c>
      <c r="AE166" s="33">
        <f>IF(AQ166="7",BI166,0)</f>
        <v>0</v>
      </c>
      <c r="AF166" s="33">
        <f>IF(AQ166="2",BH166,0)</f>
        <v>0</v>
      </c>
      <c r="AG166" s="33">
        <f>IF(AQ166="2",BI166,0)</f>
        <v>0</v>
      </c>
      <c r="AH166" s="33">
        <f>IF(AQ166="0",BJ166,0)</f>
        <v>0</v>
      </c>
      <c r="AI166" s="21" t="s">
        <v>421</v>
      </c>
      <c r="AJ166" s="33">
        <f>IF(AN166=0,J166,0)</f>
        <v>0</v>
      </c>
      <c r="AK166" s="33">
        <f>IF(AN166=15,J166,0)</f>
        <v>0</v>
      </c>
      <c r="AL166" s="33">
        <f>IF(AN166=21,J166,0)</f>
        <v>0</v>
      </c>
      <c r="AN166" s="33">
        <v>21</v>
      </c>
      <c r="AO166" s="33">
        <f>G166*0.0627986702680241</f>
        <v>0</v>
      </c>
      <c r="AP166" s="33">
        <f>G166*(1-0.0627986702680241)</f>
        <v>0</v>
      </c>
      <c r="AQ166" s="51" t="s">
        <v>581</v>
      </c>
      <c r="AV166" s="33">
        <f>AW166+AX166</f>
        <v>0</v>
      </c>
      <c r="AW166" s="33">
        <f>F166*AO166</f>
        <v>0</v>
      </c>
      <c r="AX166" s="33">
        <f>F166*AP166</f>
        <v>0</v>
      </c>
      <c r="AY166" s="51" t="s">
        <v>142</v>
      </c>
      <c r="AZ166" s="51" t="s">
        <v>272</v>
      </c>
      <c r="BA166" s="21" t="s">
        <v>457</v>
      </c>
      <c r="BC166" s="33">
        <f>AW166+AX166</f>
        <v>0</v>
      </c>
      <c r="BD166" s="33">
        <f>G166/(100-BE166)*100</f>
        <v>0</v>
      </c>
      <c r="BE166" s="33">
        <v>0</v>
      </c>
      <c r="BF166" s="33">
        <f>166</f>
        <v>166</v>
      </c>
      <c r="BH166" s="33">
        <f>F166*AO166</f>
        <v>0</v>
      </c>
      <c r="BI166" s="33">
        <f>F166*AP166</f>
        <v>0</v>
      </c>
      <c r="BJ166" s="33">
        <f>F166*G166</f>
        <v>0</v>
      </c>
      <c r="BK166" s="33"/>
      <c r="BL166" s="33">
        <v>783</v>
      </c>
      <c r="BW166" s="33">
        <v>21</v>
      </c>
    </row>
    <row r="167" spans="1:75" ht="15" customHeight="1">
      <c r="A167" s="45"/>
      <c r="C167" s="13" t="s">
        <v>622</v>
      </c>
      <c r="D167" s="13" t="s">
        <v>421</v>
      </c>
      <c r="F167" s="49">
        <v>4.6500000000000004</v>
      </c>
      <c r="K167" s="7"/>
    </row>
    <row r="168" spans="1:75" ht="13.5" customHeight="1">
      <c r="A168" s="2" t="s">
        <v>554</v>
      </c>
      <c r="B168" s="5" t="s">
        <v>615</v>
      </c>
      <c r="C168" s="66" t="s">
        <v>501</v>
      </c>
      <c r="D168" s="63"/>
      <c r="E168" s="5" t="s">
        <v>571</v>
      </c>
      <c r="F168" s="33">
        <v>4.6500000000000004</v>
      </c>
      <c r="G168" s="33">
        <v>0</v>
      </c>
      <c r="H168" s="33">
        <f>F168*AO168</f>
        <v>0</v>
      </c>
      <c r="I168" s="33">
        <f>F168*AP168</f>
        <v>0</v>
      </c>
      <c r="J168" s="33">
        <f>F168*G168</f>
        <v>0</v>
      </c>
      <c r="K168" s="6" t="s">
        <v>416</v>
      </c>
      <c r="Z168" s="33">
        <f>IF(AQ168="5",BJ168,0)</f>
        <v>0</v>
      </c>
      <c r="AB168" s="33">
        <f>IF(AQ168="1",BH168,0)</f>
        <v>0</v>
      </c>
      <c r="AC168" s="33">
        <f>IF(AQ168="1",BI168,0)</f>
        <v>0</v>
      </c>
      <c r="AD168" s="33">
        <f>IF(AQ168="7",BH168,0)</f>
        <v>0</v>
      </c>
      <c r="AE168" s="33">
        <f>IF(AQ168="7",BI168,0)</f>
        <v>0</v>
      </c>
      <c r="AF168" s="33">
        <f>IF(AQ168="2",BH168,0)</f>
        <v>0</v>
      </c>
      <c r="AG168" s="33">
        <f>IF(AQ168="2",BI168,0)</f>
        <v>0</v>
      </c>
      <c r="AH168" s="33">
        <f>IF(AQ168="0",BJ168,0)</f>
        <v>0</v>
      </c>
      <c r="AI168" s="21" t="s">
        <v>421</v>
      </c>
      <c r="AJ168" s="33">
        <f>IF(AN168=0,J168,0)</f>
        <v>0</v>
      </c>
      <c r="AK168" s="33">
        <f>IF(AN168=15,J168,0)</f>
        <v>0</v>
      </c>
      <c r="AL168" s="33">
        <f>IF(AN168=21,J168,0)</f>
        <v>0</v>
      </c>
      <c r="AN168" s="33">
        <v>21</v>
      </c>
      <c r="AO168" s="33">
        <f>G168*0.114714285714286</f>
        <v>0</v>
      </c>
      <c r="AP168" s="33">
        <f>G168*(1-0.114714285714286)</f>
        <v>0</v>
      </c>
      <c r="AQ168" s="51" t="s">
        <v>581</v>
      </c>
      <c r="AV168" s="33">
        <f>AW168+AX168</f>
        <v>0</v>
      </c>
      <c r="AW168" s="33">
        <f>F168*AO168</f>
        <v>0</v>
      </c>
      <c r="AX168" s="33">
        <f>F168*AP168</f>
        <v>0</v>
      </c>
      <c r="AY168" s="51" t="s">
        <v>142</v>
      </c>
      <c r="AZ168" s="51" t="s">
        <v>272</v>
      </c>
      <c r="BA168" s="21" t="s">
        <v>457</v>
      </c>
      <c r="BC168" s="33">
        <f>AW168+AX168</f>
        <v>0</v>
      </c>
      <c r="BD168" s="33">
        <f>G168/(100-BE168)*100</f>
        <v>0</v>
      </c>
      <c r="BE168" s="33">
        <v>0</v>
      </c>
      <c r="BF168" s="33">
        <f>168</f>
        <v>168</v>
      </c>
      <c r="BH168" s="33">
        <f>F168*AO168</f>
        <v>0</v>
      </c>
      <c r="BI168" s="33">
        <f>F168*AP168</f>
        <v>0</v>
      </c>
      <c r="BJ168" s="33">
        <f>F168*G168</f>
        <v>0</v>
      </c>
      <c r="BK168" s="33"/>
      <c r="BL168" s="33">
        <v>783</v>
      </c>
      <c r="BW168" s="33">
        <v>21</v>
      </c>
    </row>
    <row r="169" spans="1:75" ht="15" customHeight="1">
      <c r="A169" s="45"/>
      <c r="C169" s="13" t="s">
        <v>376</v>
      </c>
      <c r="D169" s="13" t="s">
        <v>421</v>
      </c>
      <c r="F169" s="49">
        <v>4.6500000000000004</v>
      </c>
      <c r="K169" s="7"/>
    </row>
    <row r="170" spans="1:75" ht="13.5" customHeight="1">
      <c r="A170" s="2" t="s">
        <v>349</v>
      </c>
      <c r="B170" s="5" t="s">
        <v>508</v>
      </c>
      <c r="C170" s="66" t="s">
        <v>287</v>
      </c>
      <c r="D170" s="63"/>
      <c r="E170" s="5" t="s">
        <v>571</v>
      </c>
      <c r="F170" s="33">
        <v>4.6500000000000004</v>
      </c>
      <c r="G170" s="33">
        <v>0</v>
      </c>
      <c r="H170" s="33">
        <f>F170*AO170</f>
        <v>0</v>
      </c>
      <c r="I170" s="33">
        <f>F170*AP170</f>
        <v>0</v>
      </c>
      <c r="J170" s="33">
        <f>F170*G170</f>
        <v>0</v>
      </c>
      <c r="K170" s="6" t="s">
        <v>416</v>
      </c>
      <c r="Z170" s="33">
        <f>IF(AQ170="5",BJ170,0)</f>
        <v>0</v>
      </c>
      <c r="AB170" s="33">
        <f>IF(AQ170="1",BH170,0)</f>
        <v>0</v>
      </c>
      <c r="AC170" s="33">
        <f>IF(AQ170="1",BI170,0)</f>
        <v>0</v>
      </c>
      <c r="AD170" s="33">
        <f>IF(AQ170="7",BH170,0)</f>
        <v>0</v>
      </c>
      <c r="AE170" s="33">
        <f>IF(AQ170="7",BI170,0)</f>
        <v>0</v>
      </c>
      <c r="AF170" s="33">
        <f>IF(AQ170="2",BH170,0)</f>
        <v>0</v>
      </c>
      <c r="AG170" s="33">
        <f>IF(AQ170="2",BI170,0)</f>
        <v>0</v>
      </c>
      <c r="AH170" s="33">
        <f>IF(AQ170="0",BJ170,0)</f>
        <v>0</v>
      </c>
      <c r="AI170" s="21" t="s">
        <v>421</v>
      </c>
      <c r="AJ170" s="33">
        <f>IF(AN170=0,J170,0)</f>
        <v>0</v>
      </c>
      <c r="AK170" s="33">
        <f>IF(AN170=15,J170,0)</f>
        <v>0</v>
      </c>
      <c r="AL170" s="33">
        <f>IF(AN170=21,J170,0)</f>
        <v>0</v>
      </c>
      <c r="AN170" s="33">
        <v>21</v>
      </c>
      <c r="AO170" s="33">
        <f>G170*0.128564618644068</f>
        <v>0</v>
      </c>
      <c r="AP170" s="33">
        <f>G170*(1-0.128564618644068)</f>
        <v>0</v>
      </c>
      <c r="AQ170" s="51" t="s">
        <v>581</v>
      </c>
      <c r="AV170" s="33">
        <f>AW170+AX170</f>
        <v>0</v>
      </c>
      <c r="AW170" s="33">
        <f>F170*AO170</f>
        <v>0</v>
      </c>
      <c r="AX170" s="33">
        <f>F170*AP170</f>
        <v>0</v>
      </c>
      <c r="AY170" s="51" t="s">
        <v>142</v>
      </c>
      <c r="AZ170" s="51" t="s">
        <v>272</v>
      </c>
      <c r="BA170" s="21" t="s">
        <v>457</v>
      </c>
      <c r="BC170" s="33">
        <f>AW170+AX170</f>
        <v>0</v>
      </c>
      <c r="BD170" s="33">
        <f>G170/(100-BE170)*100</f>
        <v>0</v>
      </c>
      <c r="BE170" s="33">
        <v>0</v>
      </c>
      <c r="BF170" s="33">
        <f>170</f>
        <v>170</v>
      </c>
      <c r="BH170" s="33">
        <f>F170*AO170</f>
        <v>0</v>
      </c>
      <c r="BI170" s="33">
        <f>F170*AP170</f>
        <v>0</v>
      </c>
      <c r="BJ170" s="33">
        <f>F170*G170</f>
        <v>0</v>
      </c>
      <c r="BK170" s="33"/>
      <c r="BL170" s="33">
        <v>783</v>
      </c>
      <c r="BW170" s="33">
        <v>21</v>
      </c>
    </row>
    <row r="171" spans="1:75" ht="15" customHeight="1">
      <c r="A171" s="45"/>
      <c r="C171" s="13" t="s">
        <v>376</v>
      </c>
      <c r="D171" s="13" t="s">
        <v>421</v>
      </c>
      <c r="F171" s="49">
        <v>4.6500000000000004</v>
      </c>
      <c r="K171" s="7"/>
    </row>
    <row r="172" spans="1:75" ht="13.5" customHeight="1">
      <c r="A172" s="2" t="s">
        <v>283</v>
      </c>
      <c r="B172" s="5" t="s">
        <v>307</v>
      </c>
      <c r="C172" s="66" t="s">
        <v>220</v>
      </c>
      <c r="D172" s="63"/>
      <c r="E172" s="5" t="s">
        <v>571</v>
      </c>
      <c r="F172" s="33">
        <v>4.6500000000000004</v>
      </c>
      <c r="G172" s="33">
        <v>0</v>
      </c>
      <c r="H172" s="33">
        <f>F172*AO172</f>
        <v>0</v>
      </c>
      <c r="I172" s="33">
        <f>F172*AP172</f>
        <v>0</v>
      </c>
      <c r="J172" s="33">
        <f>F172*G172</f>
        <v>0</v>
      </c>
      <c r="K172" s="6" t="s">
        <v>416</v>
      </c>
      <c r="Z172" s="33">
        <f>IF(AQ172="5",BJ172,0)</f>
        <v>0</v>
      </c>
      <c r="AB172" s="33">
        <f>IF(AQ172="1",BH172,0)</f>
        <v>0</v>
      </c>
      <c r="AC172" s="33">
        <f>IF(AQ172="1",BI172,0)</f>
        <v>0</v>
      </c>
      <c r="AD172" s="33">
        <f>IF(AQ172="7",BH172,0)</f>
        <v>0</v>
      </c>
      <c r="AE172" s="33">
        <f>IF(AQ172="7",BI172,0)</f>
        <v>0</v>
      </c>
      <c r="AF172" s="33">
        <f>IF(AQ172="2",BH172,0)</f>
        <v>0</v>
      </c>
      <c r="AG172" s="33">
        <f>IF(AQ172="2",BI172,0)</f>
        <v>0</v>
      </c>
      <c r="AH172" s="33">
        <f>IF(AQ172="0",BJ172,0)</f>
        <v>0</v>
      </c>
      <c r="AI172" s="21" t="s">
        <v>421</v>
      </c>
      <c r="AJ172" s="33">
        <f>IF(AN172=0,J172,0)</f>
        <v>0</v>
      </c>
      <c r="AK172" s="33">
        <f>IF(AN172=15,J172,0)</f>
        <v>0</v>
      </c>
      <c r="AL172" s="33">
        <f>IF(AN172=21,J172,0)</f>
        <v>0</v>
      </c>
      <c r="AN172" s="33">
        <v>21</v>
      </c>
      <c r="AO172" s="33">
        <f>G172*0.480287474332649</f>
        <v>0</v>
      </c>
      <c r="AP172" s="33">
        <f>G172*(1-0.480287474332649)</f>
        <v>0</v>
      </c>
      <c r="AQ172" s="51" t="s">
        <v>581</v>
      </c>
      <c r="AV172" s="33">
        <f>AW172+AX172</f>
        <v>0</v>
      </c>
      <c r="AW172" s="33">
        <f>F172*AO172</f>
        <v>0</v>
      </c>
      <c r="AX172" s="33">
        <f>F172*AP172</f>
        <v>0</v>
      </c>
      <c r="AY172" s="51" t="s">
        <v>142</v>
      </c>
      <c r="AZ172" s="51" t="s">
        <v>272</v>
      </c>
      <c r="BA172" s="21" t="s">
        <v>457</v>
      </c>
      <c r="BC172" s="33">
        <f>AW172+AX172</f>
        <v>0</v>
      </c>
      <c r="BD172" s="33">
        <f>G172/(100-BE172)*100</f>
        <v>0</v>
      </c>
      <c r="BE172" s="33">
        <v>0</v>
      </c>
      <c r="BF172" s="33">
        <f>172</f>
        <v>172</v>
      </c>
      <c r="BH172" s="33">
        <f>F172*AO172</f>
        <v>0</v>
      </c>
      <c r="BI172" s="33">
        <f>F172*AP172</f>
        <v>0</v>
      </c>
      <c r="BJ172" s="33">
        <f>F172*G172</f>
        <v>0</v>
      </c>
      <c r="BK172" s="33"/>
      <c r="BL172" s="33">
        <v>783</v>
      </c>
      <c r="BW172" s="33">
        <v>21</v>
      </c>
    </row>
    <row r="173" spans="1:75" ht="15" customHeight="1">
      <c r="A173" s="45"/>
      <c r="C173" s="13" t="s">
        <v>440</v>
      </c>
      <c r="D173" s="13" t="s">
        <v>421</v>
      </c>
      <c r="F173" s="49">
        <v>4.6500000000000004</v>
      </c>
      <c r="K173" s="7"/>
    </row>
    <row r="174" spans="1:75" ht="13.5" customHeight="1">
      <c r="A174" s="2" t="s">
        <v>71</v>
      </c>
      <c r="B174" s="5" t="s">
        <v>335</v>
      </c>
      <c r="C174" s="66" t="s">
        <v>106</v>
      </c>
      <c r="D174" s="63"/>
      <c r="E174" s="5" t="s">
        <v>571</v>
      </c>
      <c r="F174" s="33">
        <v>4.6500000000000004</v>
      </c>
      <c r="G174" s="33">
        <v>0</v>
      </c>
      <c r="H174" s="33">
        <f>F174*AO174</f>
        <v>0</v>
      </c>
      <c r="I174" s="33">
        <f>F174*AP174</f>
        <v>0</v>
      </c>
      <c r="J174" s="33">
        <f>F174*G174</f>
        <v>0</v>
      </c>
      <c r="K174" s="6" t="s">
        <v>416</v>
      </c>
      <c r="Z174" s="33">
        <f>IF(AQ174="5",BJ174,0)</f>
        <v>0</v>
      </c>
      <c r="AB174" s="33">
        <f>IF(AQ174="1",BH174,0)</f>
        <v>0</v>
      </c>
      <c r="AC174" s="33">
        <f>IF(AQ174="1",BI174,0)</f>
        <v>0</v>
      </c>
      <c r="AD174" s="33">
        <f>IF(AQ174="7",BH174,0)</f>
        <v>0</v>
      </c>
      <c r="AE174" s="33">
        <f>IF(AQ174="7",BI174,0)</f>
        <v>0</v>
      </c>
      <c r="AF174" s="33">
        <f>IF(AQ174="2",BH174,0)</f>
        <v>0</v>
      </c>
      <c r="AG174" s="33">
        <f>IF(AQ174="2",BI174,0)</f>
        <v>0</v>
      </c>
      <c r="AH174" s="33">
        <f>IF(AQ174="0",BJ174,0)</f>
        <v>0</v>
      </c>
      <c r="AI174" s="21" t="s">
        <v>421</v>
      </c>
      <c r="AJ174" s="33">
        <f>IF(AN174=0,J174,0)</f>
        <v>0</v>
      </c>
      <c r="AK174" s="33">
        <f>IF(AN174=15,J174,0)</f>
        <v>0</v>
      </c>
      <c r="AL174" s="33">
        <f>IF(AN174=21,J174,0)</f>
        <v>0</v>
      </c>
      <c r="AN174" s="33">
        <v>21</v>
      </c>
      <c r="AO174" s="33">
        <f>G174*0.602214093184444</f>
        <v>0</v>
      </c>
      <c r="AP174" s="33">
        <f>G174*(1-0.602214093184444)</f>
        <v>0</v>
      </c>
      <c r="AQ174" s="51" t="s">
        <v>581</v>
      </c>
      <c r="AV174" s="33">
        <f>AW174+AX174</f>
        <v>0</v>
      </c>
      <c r="AW174" s="33">
        <f>F174*AO174</f>
        <v>0</v>
      </c>
      <c r="AX174" s="33">
        <f>F174*AP174</f>
        <v>0</v>
      </c>
      <c r="AY174" s="51" t="s">
        <v>142</v>
      </c>
      <c r="AZ174" s="51" t="s">
        <v>272</v>
      </c>
      <c r="BA174" s="21" t="s">
        <v>457</v>
      </c>
      <c r="BC174" s="33">
        <f>AW174+AX174</f>
        <v>0</v>
      </c>
      <c r="BD174" s="33">
        <f>G174/(100-BE174)*100</f>
        <v>0</v>
      </c>
      <c r="BE174" s="33">
        <v>0</v>
      </c>
      <c r="BF174" s="33">
        <f>174</f>
        <v>174</v>
      </c>
      <c r="BH174" s="33">
        <f>F174*AO174</f>
        <v>0</v>
      </c>
      <c r="BI174" s="33">
        <f>F174*AP174</f>
        <v>0</v>
      </c>
      <c r="BJ174" s="33">
        <f>F174*G174</f>
        <v>0</v>
      </c>
      <c r="BK174" s="33"/>
      <c r="BL174" s="33">
        <v>783</v>
      </c>
      <c r="BW174" s="33">
        <v>21</v>
      </c>
    </row>
    <row r="175" spans="1:75" ht="15" customHeight="1">
      <c r="A175" s="45"/>
      <c r="C175" s="13" t="s">
        <v>440</v>
      </c>
      <c r="D175" s="13" t="s">
        <v>421</v>
      </c>
      <c r="F175" s="49">
        <v>4.6500000000000004</v>
      </c>
      <c r="K175" s="7"/>
    </row>
    <row r="176" spans="1:75" ht="15" customHeight="1">
      <c r="A176" s="54" t="s">
        <v>421</v>
      </c>
      <c r="B176" s="22" t="s">
        <v>337</v>
      </c>
      <c r="C176" s="79" t="s">
        <v>11</v>
      </c>
      <c r="D176" s="80"/>
      <c r="E176" s="3" t="s">
        <v>544</v>
      </c>
      <c r="F176" s="3" t="s">
        <v>544</v>
      </c>
      <c r="G176" s="3" t="s">
        <v>544</v>
      </c>
      <c r="H176" s="35">
        <f>SUM(H177:H181)</f>
        <v>0</v>
      </c>
      <c r="I176" s="35">
        <f>SUM(I177:I181)</f>
        <v>0</v>
      </c>
      <c r="J176" s="35">
        <f>SUM(J177:J181)</f>
        <v>0</v>
      </c>
      <c r="K176" s="16" t="s">
        <v>421</v>
      </c>
      <c r="AI176" s="21" t="s">
        <v>421</v>
      </c>
      <c r="AS176" s="35">
        <f>SUM(AJ177:AJ181)</f>
        <v>0</v>
      </c>
      <c r="AT176" s="35">
        <f>SUM(AK177:AK181)</f>
        <v>0</v>
      </c>
      <c r="AU176" s="35">
        <f>SUM(AL177:AL181)</f>
        <v>0</v>
      </c>
    </row>
    <row r="177" spans="1:75" ht="13.5" customHeight="1">
      <c r="A177" s="2" t="s">
        <v>438</v>
      </c>
      <c r="B177" s="5" t="s">
        <v>135</v>
      </c>
      <c r="C177" s="66" t="s">
        <v>527</v>
      </c>
      <c r="D177" s="63"/>
      <c r="E177" s="5" t="s">
        <v>571</v>
      </c>
      <c r="F177" s="33">
        <v>57.994999999999997</v>
      </c>
      <c r="G177" s="33">
        <v>0</v>
      </c>
      <c r="H177" s="33">
        <f>F177*AO177</f>
        <v>0</v>
      </c>
      <c r="I177" s="33">
        <f>F177*AP177</f>
        <v>0</v>
      </c>
      <c r="J177" s="33">
        <f>F177*G177</f>
        <v>0</v>
      </c>
      <c r="K177" s="6" t="s">
        <v>416</v>
      </c>
      <c r="Z177" s="33">
        <f>IF(AQ177="5",BJ177,0)</f>
        <v>0</v>
      </c>
      <c r="AB177" s="33">
        <f>IF(AQ177="1",BH177,0)</f>
        <v>0</v>
      </c>
      <c r="AC177" s="33">
        <f>IF(AQ177="1",BI177,0)</f>
        <v>0</v>
      </c>
      <c r="AD177" s="33">
        <f>IF(AQ177="7",BH177,0)</f>
        <v>0</v>
      </c>
      <c r="AE177" s="33">
        <f>IF(AQ177="7",BI177,0)</f>
        <v>0</v>
      </c>
      <c r="AF177" s="33">
        <f>IF(AQ177="2",BH177,0)</f>
        <v>0</v>
      </c>
      <c r="AG177" s="33">
        <f>IF(AQ177="2",BI177,0)</f>
        <v>0</v>
      </c>
      <c r="AH177" s="33">
        <f>IF(AQ177="0",BJ177,0)</f>
        <v>0</v>
      </c>
      <c r="AI177" s="21" t="s">
        <v>421</v>
      </c>
      <c r="AJ177" s="33">
        <f>IF(AN177=0,J177,0)</f>
        <v>0</v>
      </c>
      <c r="AK177" s="33">
        <f>IF(AN177=15,J177,0)</f>
        <v>0</v>
      </c>
      <c r="AL177" s="33">
        <f>IF(AN177=21,J177,0)</f>
        <v>0</v>
      </c>
      <c r="AN177" s="33">
        <v>21</v>
      </c>
      <c r="AO177" s="33">
        <f>G177*0.431190786409705</f>
        <v>0</v>
      </c>
      <c r="AP177" s="33">
        <f>G177*(1-0.431190786409705)</f>
        <v>0</v>
      </c>
      <c r="AQ177" s="51" t="s">
        <v>581</v>
      </c>
      <c r="AV177" s="33">
        <f>AW177+AX177</f>
        <v>0</v>
      </c>
      <c r="AW177" s="33">
        <f>F177*AO177</f>
        <v>0</v>
      </c>
      <c r="AX177" s="33">
        <f>F177*AP177</f>
        <v>0</v>
      </c>
      <c r="AY177" s="51" t="s">
        <v>523</v>
      </c>
      <c r="AZ177" s="51" t="s">
        <v>272</v>
      </c>
      <c r="BA177" s="21" t="s">
        <v>457</v>
      </c>
      <c r="BC177" s="33">
        <f>AW177+AX177</f>
        <v>0</v>
      </c>
      <c r="BD177" s="33">
        <f>G177/(100-BE177)*100</f>
        <v>0</v>
      </c>
      <c r="BE177" s="33">
        <v>0</v>
      </c>
      <c r="BF177" s="33">
        <f>177</f>
        <v>177</v>
      </c>
      <c r="BH177" s="33">
        <f>F177*AO177</f>
        <v>0</v>
      </c>
      <c r="BI177" s="33">
        <f>F177*AP177</f>
        <v>0</v>
      </c>
      <c r="BJ177" s="33">
        <f>F177*G177</f>
        <v>0</v>
      </c>
      <c r="BK177" s="33"/>
      <c r="BL177" s="33">
        <v>784</v>
      </c>
      <c r="BW177" s="33">
        <v>21</v>
      </c>
    </row>
    <row r="178" spans="1:75" ht="15" customHeight="1">
      <c r="A178" s="45"/>
      <c r="C178" s="13" t="s">
        <v>452</v>
      </c>
      <c r="D178" s="13" t="s">
        <v>421</v>
      </c>
      <c r="F178" s="49">
        <v>29.595000000000002</v>
      </c>
      <c r="K178" s="7"/>
    </row>
    <row r="179" spans="1:75" ht="15" customHeight="1">
      <c r="A179" s="45"/>
      <c r="C179" s="13" t="s">
        <v>583</v>
      </c>
      <c r="D179" s="13" t="s">
        <v>421</v>
      </c>
      <c r="F179" s="49">
        <v>28.400000000000002</v>
      </c>
      <c r="K179" s="7"/>
    </row>
    <row r="180" spans="1:75" ht="15" customHeight="1">
      <c r="A180" s="45"/>
      <c r="C180" s="13" t="s">
        <v>14</v>
      </c>
      <c r="D180" s="13" t="s">
        <v>421</v>
      </c>
      <c r="F180" s="49">
        <v>0</v>
      </c>
      <c r="K180" s="7"/>
    </row>
    <row r="181" spans="1:75" ht="13.5" customHeight="1">
      <c r="A181" s="2" t="s">
        <v>651</v>
      </c>
      <c r="B181" s="5" t="s">
        <v>258</v>
      </c>
      <c r="C181" s="66" t="s">
        <v>468</v>
      </c>
      <c r="D181" s="63"/>
      <c r="E181" s="5" t="s">
        <v>571</v>
      </c>
      <c r="F181" s="33">
        <v>57.994999999999997</v>
      </c>
      <c r="G181" s="33">
        <v>0</v>
      </c>
      <c r="H181" s="33">
        <f>F181*AO181</f>
        <v>0</v>
      </c>
      <c r="I181" s="33">
        <f>F181*AP181</f>
        <v>0</v>
      </c>
      <c r="J181" s="33">
        <f>F181*G181</f>
        <v>0</v>
      </c>
      <c r="K181" s="6" t="s">
        <v>416</v>
      </c>
      <c r="Z181" s="33">
        <f>IF(AQ181="5",BJ181,0)</f>
        <v>0</v>
      </c>
      <c r="AB181" s="33">
        <f>IF(AQ181="1",BH181,0)</f>
        <v>0</v>
      </c>
      <c r="AC181" s="33">
        <f>IF(AQ181="1",BI181,0)</f>
        <v>0</v>
      </c>
      <c r="AD181" s="33">
        <f>IF(AQ181="7",BH181,0)</f>
        <v>0</v>
      </c>
      <c r="AE181" s="33">
        <f>IF(AQ181="7",BI181,0)</f>
        <v>0</v>
      </c>
      <c r="AF181" s="33">
        <f>IF(AQ181="2",BH181,0)</f>
        <v>0</v>
      </c>
      <c r="AG181" s="33">
        <f>IF(AQ181="2",BI181,0)</f>
        <v>0</v>
      </c>
      <c r="AH181" s="33">
        <f>IF(AQ181="0",BJ181,0)</f>
        <v>0</v>
      </c>
      <c r="AI181" s="21" t="s">
        <v>421</v>
      </c>
      <c r="AJ181" s="33">
        <f>IF(AN181=0,J181,0)</f>
        <v>0</v>
      </c>
      <c r="AK181" s="33">
        <f>IF(AN181=15,J181,0)</f>
        <v>0</v>
      </c>
      <c r="AL181" s="33">
        <f>IF(AN181=21,J181,0)</f>
        <v>0</v>
      </c>
      <c r="AN181" s="33">
        <v>21</v>
      </c>
      <c r="AO181" s="33">
        <f>G181*0.304046293281594</f>
        <v>0</v>
      </c>
      <c r="AP181" s="33">
        <f>G181*(1-0.304046293281594)</f>
        <v>0</v>
      </c>
      <c r="AQ181" s="51" t="s">
        <v>581</v>
      </c>
      <c r="AV181" s="33">
        <f>AW181+AX181</f>
        <v>0</v>
      </c>
      <c r="AW181" s="33">
        <f>F181*AO181</f>
        <v>0</v>
      </c>
      <c r="AX181" s="33">
        <f>F181*AP181</f>
        <v>0</v>
      </c>
      <c r="AY181" s="51" t="s">
        <v>523</v>
      </c>
      <c r="AZ181" s="51" t="s">
        <v>272</v>
      </c>
      <c r="BA181" s="21" t="s">
        <v>457</v>
      </c>
      <c r="BC181" s="33">
        <f>AW181+AX181</f>
        <v>0</v>
      </c>
      <c r="BD181" s="33">
        <f>G181/(100-BE181)*100</f>
        <v>0</v>
      </c>
      <c r="BE181" s="33">
        <v>0</v>
      </c>
      <c r="BF181" s="33">
        <f>181</f>
        <v>181</v>
      </c>
      <c r="BH181" s="33">
        <f>F181*AO181</f>
        <v>0</v>
      </c>
      <c r="BI181" s="33">
        <f>F181*AP181</f>
        <v>0</v>
      </c>
      <c r="BJ181" s="33">
        <f>F181*G181</f>
        <v>0</v>
      </c>
      <c r="BK181" s="33"/>
      <c r="BL181" s="33">
        <v>784</v>
      </c>
      <c r="BW181" s="33">
        <v>21</v>
      </c>
    </row>
    <row r="182" spans="1:75" ht="15" customHeight="1">
      <c r="A182" s="45"/>
      <c r="C182" s="13" t="s">
        <v>171</v>
      </c>
      <c r="D182" s="13" t="s">
        <v>421</v>
      </c>
      <c r="F182" s="49">
        <v>57.995000000000005</v>
      </c>
      <c r="K182" s="7"/>
    </row>
    <row r="183" spans="1:75" ht="15" customHeight="1">
      <c r="A183" s="54" t="s">
        <v>421</v>
      </c>
      <c r="B183" s="22" t="s">
        <v>299</v>
      </c>
      <c r="C183" s="79" t="s">
        <v>69</v>
      </c>
      <c r="D183" s="80"/>
      <c r="E183" s="3" t="s">
        <v>544</v>
      </c>
      <c r="F183" s="3" t="s">
        <v>544</v>
      </c>
      <c r="G183" s="3" t="s">
        <v>544</v>
      </c>
      <c r="H183" s="35">
        <f>SUM(H184:H217)</f>
        <v>0</v>
      </c>
      <c r="I183" s="35">
        <f>SUM(I184:I217)</f>
        <v>0</v>
      </c>
      <c r="J183" s="35">
        <f>SUM(J184:J217)</f>
        <v>0</v>
      </c>
      <c r="K183" s="16" t="s">
        <v>421</v>
      </c>
      <c r="AI183" s="21" t="s">
        <v>421</v>
      </c>
      <c r="AS183" s="35">
        <f>SUM(AJ184:AJ217)</f>
        <v>0</v>
      </c>
      <c r="AT183" s="35">
        <f>SUM(AK184:AK217)</f>
        <v>0</v>
      </c>
      <c r="AU183" s="35">
        <f>SUM(AL184:AL217)</f>
        <v>0</v>
      </c>
    </row>
    <row r="184" spans="1:75" ht="13.5" customHeight="1">
      <c r="A184" s="2" t="s">
        <v>140</v>
      </c>
      <c r="B184" s="5" t="s">
        <v>151</v>
      </c>
      <c r="C184" s="66" t="s">
        <v>612</v>
      </c>
      <c r="D184" s="63"/>
      <c r="E184" s="5" t="s">
        <v>147</v>
      </c>
      <c r="F184" s="33">
        <v>7</v>
      </c>
      <c r="G184" s="33">
        <v>0</v>
      </c>
      <c r="H184" s="33">
        <f>F184*AO184</f>
        <v>0</v>
      </c>
      <c r="I184" s="33">
        <f>F184*AP184</f>
        <v>0</v>
      </c>
      <c r="J184" s="33">
        <f>F184*G184</f>
        <v>0</v>
      </c>
      <c r="K184" s="6" t="s">
        <v>416</v>
      </c>
      <c r="Z184" s="33">
        <f>IF(AQ184="5",BJ184,0)</f>
        <v>0</v>
      </c>
      <c r="AB184" s="33">
        <f>IF(AQ184="1",BH184,0)</f>
        <v>0</v>
      </c>
      <c r="AC184" s="33">
        <f>IF(AQ184="1",BI184,0)</f>
        <v>0</v>
      </c>
      <c r="AD184" s="33">
        <f>IF(AQ184="7",BH184,0)</f>
        <v>0</v>
      </c>
      <c r="AE184" s="33">
        <f>IF(AQ184="7",BI184,0)</f>
        <v>0</v>
      </c>
      <c r="AF184" s="33">
        <f>IF(AQ184="2",BH184,0)</f>
        <v>0</v>
      </c>
      <c r="AG184" s="33">
        <f>IF(AQ184="2",BI184,0)</f>
        <v>0</v>
      </c>
      <c r="AH184" s="33">
        <f>IF(AQ184="0",BJ184,0)</f>
        <v>0</v>
      </c>
      <c r="AI184" s="21" t="s">
        <v>421</v>
      </c>
      <c r="AJ184" s="33">
        <f>IF(AN184=0,J184,0)</f>
        <v>0</v>
      </c>
      <c r="AK184" s="33">
        <f>IF(AN184=15,J184,0)</f>
        <v>0</v>
      </c>
      <c r="AL184" s="33">
        <f>IF(AN184=21,J184,0)</f>
        <v>0</v>
      </c>
      <c r="AN184" s="33">
        <v>21</v>
      </c>
      <c r="AO184" s="33">
        <f>G184*0.000031496062992126</f>
        <v>0</v>
      </c>
      <c r="AP184" s="33">
        <f>G184*(1-0.000031496062992126)</f>
        <v>0</v>
      </c>
      <c r="AQ184" s="51" t="s">
        <v>578</v>
      </c>
      <c r="AV184" s="33">
        <f>AW184+AX184</f>
        <v>0</v>
      </c>
      <c r="AW184" s="33">
        <f>F184*AO184</f>
        <v>0</v>
      </c>
      <c r="AX184" s="33">
        <f>F184*AP184</f>
        <v>0</v>
      </c>
      <c r="AY184" s="51" t="s">
        <v>512</v>
      </c>
      <c r="AZ184" s="51" t="s">
        <v>502</v>
      </c>
      <c r="BA184" s="21" t="s">
        <v>457</v>
      </c>
      <c r="BC184" s="33">
        <f>AW184+AX184</f>
        <v>0</v>
      </c>
      <c r="BD184" s="33">
        <f>G184/(100-BE184)*100</f>
        <v>0</v>
      </c>
      <c r="BE184" s="33">
        <v>0</v>
      </c>
      <c r="BF184" s="33">
        <f>184</f>
        <v>184</v>
      </c>
      <c r="BH184" s="33">
        <f>F184*AO184</f>
        <v>0</v>
      </c>
      <c r="BI184" s="33">
        <f>F184*AP184</f>
        <v>0</v>
      </c>
      <c r="BJ184" s="33">
        <f>F184*G184</f>
        <v>0</v>
      </c>
      <c r="BK184" s="33"/>
      <c r="BL184" s="33">
        <v>85</v>
      </c>
      <c r="BW184" s="33">
        <v>21</v>
      </c>
    </row>
    <row r="185" spans="1:75" ht="15" customHeight="1">
      <c r="A185" s="45"/>
      <c r="C185" s="13" t="s">
        <v>345</v>
      </c>
      <c r="D185" s="13" t="s">
        <v>421</v>
      </c>
      <c r="F185" s="49">
        <v>2</v>
      </c>
      <c r="K185" s="7"/>
    </row>
    <row r="186" spans="1:75" ht="15" customHeight="1">
      <c r="A186" s="45"/>
      <c r="C186" s="13" t="s">
        <v>417</v>
      </c>
      <c r="D186" s="13" t="s">
        <v>421</v>
      </c>
      <c r="F186" s="49">
        <v>2</v>
      </c>
      <c r="K186" s="7"/>
    </row>
    <row r="187" spans="1:75" ht="15" customHeight="1">
      <c r="A187" s="45"/>
      <c r="C187" s="13" t="s">
        <v>405</v>
      </c>
      <c r="D187" s="13" t="s">
        <v>421</v>
      </c>
      <c r="F187" s="49">
        <v>2</v>
      </c>
      <c r="K187" s="7"/>
    </row>
    <row r="188" spans="1:75" ht="15" customHeight="1">
      <c r="A188" s="45"/>
      <c r="C188" s="13" t="s">
        <v>383</v>
      </c>
      <c r="D188" s="13" t="s">
        <v>421</v>
      </c>
      <c r="F188" s="49">
        <v>1</v>
      </c>
      <c r="K188" s="7"/>
    </row>
    <row r="189" spans="1:75" ht="13.5" customHeight="1">
      <c r="A189" s="2" t="s">
        <v>302</v>
      </c>
      <c r="B189" s="5" t="s">
        <v>353</v>
      </c>
      <c r="C189" s="66" t="s">
        <v>123</v>
      </c>
      <c r="D189" s="63"/>
      <c r="E189" s="5" t="s">
        <v>147</v>
      </c>
      <c r="F189" s="33">
        <v>2</v>
      </c>
      <c r="G189" s="33">
        <v>0</v>
      </c>
      <c r="H189" s="33">
        <f>F189*AO189</f>
        <v>0</v>
      </c>
      <c r="I189" s="33">
        <f>F189*AP189</f>
        <v>0</v>
      </c>
      <c r="J189" s="33">
        <f>F189*G189</f>
        <v>0</v>
      </c>
      <c r="K189" s="6" t="s">
        <v>421</v>
      </c>
      <c r="Z189" s="33">
        <f>IF(AQ189="5",BJ189,0)</f>
        <v>0</v>
      </c>
      <c r="AB189" s="33">
        <f>IF(AQ189="1",BH189,0)</f>
        <v>0</v>
      </c>
      <c r="AC189" s="33">
        <f>IF(AQ189="1",BI189,0)</f>
        <v>0</v>
      </c>
      <c r="AD189" s="33">
        <f>IF(AQ189="7",BH189,0)</f>
        <v>0</v>
      </c>
      <c r="AE189" s="33">
        <f>IF(AQ189="7",BI189,0)</f>
        <v>0</v>
      </c>
      <c r="AF189" s="33">
        <f>IF(AQ189="2",BH189,0)</f>
        <v>0</v>
      </c>
      <c r="AG189" s="33">
        <f>IF(AQ189="2",BI189,0)</f>
        <v>0</v>
      </c>
      <c r="AH189" s="33">
        <f>IF(AQ189="0",BJ189,0)</f>
        <v>0</v>
      </c>
      <c r="AI189" s="21" t="s">
        <v>421</v>
      </c>
      <c r="AJ189" s="33">
        <f>IF(AN189=0,J189,0)</f>
        <v>0</v>
      </c>
      <c r="AK189" s="33">
        <f>IF(AN189=15,J189,0)</f>
        <v>0</v>
      </c>
      <c r="AL189" s="33">
        <f>IF(AN189=21,J189,0)</f>
        <v>0</v>
      </c>
      <c r="AN189" s="33">
        <v>21</v>
      </c>
      <c r="AO189" s="33">
        <f>G189*1</f>
        <v>0</v>
      </c>
      <c r="AP189" s="33">
        <f>G189*(1-1)</f>
        <v>0</v>
      </c>
      <c r="AQ189" s="51" t="s">
        <v>578</v>
      </c>
      <c r="AV189" s="33">
        <f>AW189+AX189</f>
        <v>0</v>
      </c>
      <c r="AW189" s="33">
        <f>F189*AO189</f>
        <v>0</v>
      </c>
      <c r="AX189" s="33">
        <f>F189*AP189</f>
        <v>0</v>
      </c>
      <c r="AY189" s="51" t="s">
        <v>512</v>
      </c>
      <c r="AZ189" s="51" t="s">
        <v>502</v>
      </c>
      <c r="BA189" s="21" t="s">
        <v>457</v>
      </c>
      <c r="BC189" s="33">
        <f>AW189+AX189</f>
        <v>0</v>
      </c>
      <c r="BD189" s="33">
        <f>G189/(100-BE189)*100</f>
        <v>0</v>
      </c>
      <c r="BE189" s="33">
        <v>0</v>
      </c>
      <c r="BF189" s="33">
        <f>189</f>
        <v>189</v>
      </c>
      <c r="BH189" s="33">
        <f>F189*AO189</f>
        <v>0</v>
      </c>
      <c r="BI189" s="33">
        <f>F189*AP189</f>
        <v>0</v>
      </c>
      <c r="BJ189" s="33">
        <f>F189*G189</f>
        <v>0</v>
      </c>
      <c r="BK189" s="33"/>
      <c r="BL189" s="33">
        <v>85</v>
      </c>
      <c r="BW189" s="33">
        <v>21</v>
      </c>
    </row>
    <row r="190" spans="1:75" ht="13.5" customHeight="1">
      <c r="A190" s="2" t="s">
        <v>647</v>
      </c>
      <c r="B190" s="5" t="s">
        <v>229</v>
      </c>
      <c r="C190" s="66" t="s">
        <v>494</v>
      </c>
      <c r="D190" s="63"/>
      <c r="E190" s="5" t="s">
        <v>147</v>
      </c>
      <c r="F190" s="33">
        <v>2</v>
      </c>
      <c r="G190" s="33">
        <v>0</v>
      </c>
      <c r="H190" s="33">
        <f>F190*AO190</f>
        <v>0</v>
      </c>
      <c r="I190" s="33">
        <f>F190*AP190</f>
        <v>0</v>
      </c>
      <c r="J190" s="33">
        <f>F190*G190</f>
        <v>0</v>
      </c>
      <c r="K190" s="6" t="s">
        <v>421</v>
      </c>
      <c r="Z190" s="33">
        <f>IF(AQ190="5",BJ190,0)</f>
        <v>0</v>
      </c>
      <c r="AB190" s="33">
        <f>IF(AQ190="1",BH190,0)</f>
        <v>0</v>
      </c>
      <c r="AC190" s="33">
        <f>IF(AQ190="1",BI190,0)</f>
        <v>0</v>
      </c>
      <c r="AD190" s="33">
        <f>IF(AQ190="7",BH190,0)</f>
        <v>0</v>
      </c>
      <c r="AE190" s="33">
        <f>IF(AQ190="7",BI190,0)</f>
        <v>0</v>
      </c>
      <c r="AF190" s="33">
        <f>IF(AQ190="2",BH190,0)</f>
        <v>0</v>
      </c>
      <c r="AG190" s="33">
        <f>IF(AQ190="2",BI190,0)</f>
        <v>0</v>
      </c>
      <c r="AH190" s="33">
        <f>IF(AQ190="0",BJ190,0)</f>
        <v>0</v>
      </c>
      <c r="AI190" s="21" t="s">
        <v>421</v>
      </c>
      <c r="AJ190" s="33">
        <f>IF(AN190=0,J190,0)</f>
        <v>0</v>
      </c>
      <c r="AK190" s="33">
        <f>IF(AN190=15,J190,0)</f>
        <v>0</v>
      </c>
      <c r="AL190" s="33">
        <f>IF(AN190=21,J190,0)</f>
        <v>0</v>
      </c>
      <c r="AN190" s="33">
        <v>21</v>
      </c>
      <c r="AO190" s="33">
        <f>G190*1</f>
        <v>0</v>
      </c>
      <c r="AP190" s="33">
        <f>G190*(1-1)</f>
        <v>0</v>
      </c>
      <c r="AQ190" s="51" t="s">
        <v>578</v>
      </c>
      <c r="AV190" s="33">
        <f>AW190+AX190</f>
        <v>0</v>
      </c>
      <c r="AW190" s="33">
        <f>F190*AO190</f>
        <v>0</v>
      </c>
      <c r="AX190" s="33">
        <f>F190*AP190</f>
        <v>0</v>
      </c>
      <c r="AY190" s="51" t="s">
        <v>512</v>
      </c>
      <c r="AZ190" s="51" t="s">
        <v>502</v>
      </c>
      <c r="BA190" s="21" t="s">
        <v>457</v>
      </c>
      <c r="BC190" s="33">
        <f>AW190+AX190</f>
        <v>0</v>
      </c>
      <c r="BD190" s="33">
        <f>G190/(100-BE190)*100</f>
        <v>0</v>
      </c>
      <c r="BE190" s="33">
        <v>0</v>
      </c>
      <c r="BF190" s="33">
        <f>190</f>
        <v>190</v>
      </c>
      <c r="BH190" s="33">
        <f>F190*AO190</f>
        <v>0</v>
      </c>
      <c r="BI190" s="33">
        <f>F190*AP190</f>
        <v>0</v>
      </c>
      <c r="BJ190" s="33">
        <f>F190*G190</f>
        <v>0</v>
      </c>
      <c r="BK190" s="33"/>
      <c r="BL190" s="33">
        <v>85</v>
      </c>
      <c r="BW190" s="33">
        <v>21</v>
      </c>
    </row>
    <row r="191" spans="1:75" ht="13.5" customHeight="1">
      <c r="A191" s="2" t="s">
        <v>607</v>
      </c>
      <c r="B191" s="5" t="s">
        <v>130</v>
      </c>
      <c r="C191" s="66" t="s">
        <v>164</v>
      </c>
      <c r="D191" s="63"/>
      <c r="E191" s="5" t="s">
        <v>147</v>
      </c>
      <c r="F191" s="33">
        <v>2</v>
      </c>
      <c r="G191" s="33">
        <v>0</v>
      </c>
      <c r="H191" s="33">
        <f>F191*AO191</f>
        <v>0</v>
      </c>
      <c r="I191" s="33">
        <f>F191*AP191</f>
        <v>0</v>
      </c>
      <c r="J191" s="33">
        <f>F191*G191</f>
        <v>0</v>
      </c>
      <c r="K191" s="6" t="s">
        <v>421</v>
      </c>
      <c r="Z191" s="33">
        <f>IF(AQ191="5",BJ191,0)</f>
        <v>0</v>
      </c>
      <c r="AB191" s="33">
        <f>IF(AQ191="1",BH191,0)</f>
        <v>0</v>
      </c>
      <c r="AC191" s="33">
        <f>IF(AQ191="1",BI191,0)</f>
        <v>0</v>
      </c>
      <c r="AD191" s="33">
        <f>IF(AQ191="7",BH191,0)</f>
        <v>0</v>
      </c>
      <c r="AE191" s="33">
        <f>IF(AQ191="7",BI191,0)</f>
        <v>0</v>
      </c>
      <c r="AF191" s="33">
        <f>IF(AQ191="2",BH191,0)</f>
        <v>0</v>
      </c>
      <c r="AG191" s="33">
        <f>IF(AQ191="2",BI191,0)</f>
        <v>0</v>
      </c>
      <c r="AH191" s="33">
        <f>IF(AQ191="0",BJ191,0)</f>
        <v>0</v>
      </c>
      <c r="AI191" s="21" t="s">
        <v>421</v>
      </c>
      <c r="AJ191" s="33">
        <f>IF(AN191=0,J191,0)</f>
        <v>0</v>
      </c>
      <c r="AK191" s="33">
        <f>IF(AN191=15,J191,0)</f>
        <v>0</v>
      </c>
      <c r="AL191" s="33">
        <f>IF(AN191=21,J191,0)</f>
        <v>0</v>
      </c>
      <c r="AN191" s="33">
        <v>21</v>
      </c>
      <c r="AO191" s="33">
        <f>G191*1</f>
        <v>0</v>
      </c>
      <c r="AP191" s="33">
        <f>G191*(1-1)</f>
        <v>0</v>
      </c>
      <c r="AQ191" s="51" t="s">
        <v>578</v>
      </c>
      <c r="AV191" s="33">
        <f>AW191+AX191</f>
        <v>0</v>
      </c>
      <c r="AW191" s="33">
        <f>F191*AO191</f>
        <v>0</v>
      </c>
      <c r="AX191" s="33">
        <f>F191*AP191</f>
        <v>0</v>
      </c>
      <c r="AY191" s="51" t="s">
        <v>512</v>
      </c>
      <c r="AZ191" s="51" t="s">
        <v>502</v>
      </c>
      <c r="BA191" s="21" t="s">
        <v>457</v>
      </c>
      <c r="BC191" s="33">
        <f>AW191+AX191</f>
        <v>0</v>
      </c>
      <c r="BD191" s="33">
        <f>G191/(100-BE191)*100</f>
        <v>0</v>
      </c>
      <c r="BE191" s="33">
        <v>0</v>
      </c>
      <c r="BF191" s="33">
        <f>191</f>
        <v>191</v>
      </c>
      <c r="BH191" s="33">
        <f>F191*AO191</f>
        <v>0</v>
      </c>
      <c r="BI191" s="33">
        <f>F191*AP191</f>
        <v>0</v>
      </c>
      <c r="BJ191" s="33">
        <f>F191*G191</f>
        <v>0</v>
      </c>
      <c r="BK191" s="33"/>
      <c r="BL191" s="33">
        <v>85</v>
      </c>
      <c r="BW191" s="33">
        <v>21</v>
      </c>
    </row>
    <row r="192" spans="1:75" ht="13.5" customHeight="1">
      <c r="A192" s="2" t="s">
        <v>8</v>
      </c>
      <c r="B192" s="5" t="s">
        <v>374</v>
      </c>
      <c r="C192" s="66" t="s">
        <v>632</v>
      </c>
      <c r="D192" s="63"/>
      <c r="E192" s="5" t="s">
        <v>147</v>
      </c>
      <c r="F192" s="33">
        <v>1</v>
      </c>
      <c r="G192" s="33">
        <v>0</v>
      </c>
      <c r="H192" s="33">
        <f>F192*AO192</f>
        <v>0</v>
      </c>
      <c r="I192" s="33">
        <f>F192*AP192</f>
        <v>0</v>
      </c>
      <c r="J192" s="33">
        <f>F192*G192</f>
        <v>0</v>
      </c>
      <c r="K192" s="6" t="s">
        <v>421</v>
      </c>
      <c r="Z192" s="33">
        <f>IF(AQ192="5",BJ192,0)</f>
        <v>0</v>
      </c>
      <c r="AB192" s="33">
        <f>IF(AQ192="1",BH192,0)</f>
        <v>0</v>
      </c>
      <c r="AC192" s="33">
        <f>IF(AQ192="1",BI192,0)</f>
        <v>0</v>
      </c>
      <c r="AD192" s="33">
        <f>IF(AQ192="7",BH192,0)</f>
        <v>0</v>
      </c>
      <c r="AE192" s="33">
        <f>IF(AQ192="7",BI192,0)</f>
        <v>0</v>
      </c>
      <c r="AF192" s="33">
        <f>IF(AQ192="2",BH192,0)</f>
        <v>0</v>
      </c>
      <c r="AG192" s="33">
        <f>IF(AQ192="2",BI192,0)</f>
        <v>0</v>
      </c>
      <c r="AH192" s="33">
        <f>IF(AQ192="0",BJ192,0)</f>
        <v>0</v>
      </c>
      <c r="AI192" s="21" t="s">
        <v>421</v>
      </c>
      <c r="AJ192" s="33">
        <f>IF(AN192=0,J192,0)</f>
        <v>0</v>
      </c>
      <c r="AK192" s="33">
        <f>IF(AN192=15,J192,0)</f>
        <v>0</v>
      </c>
      <c r="AL192" s="33">
        <f>IF(AN192=21,J192,0)</f>
        <v>0</v>
      </c>
      <c r="AN192" s="33">
        <v>21</v>
      </c>
      <c r="AO192" s="33">
        <f>G192*1</f>
        <v>0</v>
      </c>
      <c r="AP192" s="33">
        <f>G192*(1-1)</f>
        <v>0</v>
      </c>
      <c r="AQ192" s="51" t="s">
        <v>578</v>
      </c>
      <c r="AV192" s="33">
        <f>AW192+AX192</f>
        <v>0</v>
      </c>
      <c r="AW192" s="33">
        <f>F192*AO192</f>
        <v>0</v>
      </c>
      <c r="AX192" s="33">
        <f>F192*AP192</f>
        <v>0</v>
      </c>
      <c r="AY192" s="51" t="s">
        <v>512</v>
      </c>
      <c r="AZ192" s="51" t="s">
        <v>502</v>
      </c>
      <c r="BA192" s="21" t="s">
        <v>457</v>
      </c>
      <c r="BC192" s="33">
        <f>AW192+AX192</f>
        <v>0</v>
      </c>
      <c r="BD192" s="33">
        <f>G192/(100-BE192)*100</f>
        <v>0</v>
      </c>
      <c r="BE192" s="33">
        <v>0</v>
      </c>
      <c r="BF192" s="33">
        <f>192</f>
        <v>192</v>
      </c>
      <c r="BH192" s="33">
        <f>F192*AO192</f>
        <v>0</v>
      </c>
      <c r="BI192" s="33">
        <f>F192*AP192</f>
        <v>0</v>
      </c>
      <c r="BJ192" s="33">
        <f>F192*G192</f>
        <v>0</v>
      </c>
      <c r="BK192" s="33"/>
      <c r="BL192" s="33">
        <v>85</v>
      </c>
      <c r="BW192" s="33">
        <v>21</v>
      </c>
    </row>
    <row r="193" spans="1:75" ht="13.5" customHeight="1">
      <c r="A193" s="2" t="s">
        <v>101</v>
      </c>
      <c r="B193" s="5" t="s">
        <v>459</v>
      </c>
      <c r="C193" s="66" t="s">
        <v>200</v>
      </c>
      <c r="D193" s="63"/>
      <c r="E193" s="5" t="s">
        <v>147</v>
      </c>
      <c r="F193" s="33">
        <v>22</v>
      </c>
      <c r="G193" s="33">
        <v>0</v>
      </c>
      <c r="H193" s="33">
        <f>F193*AO193</f>
        <v>0</v>
      </c>
      <c r="I193" s="33">
        <f>F193*AP193</f>
        <v>0</v>
      </c>
      <c r="J193" s="33">
        <f>F193*G193</f>
        <v>0</v>
      </c>
      <c r="K193" s="6" t="s">
        <v>416</v>
      </c>
      <c r="Z193" s="33">
        <f>IF(AQ193="5",BJ193,0)</f>
        <v>0</v>
      </c>
      <c r="AB193" s="33">
        <f>IF(AQ193="1",BH193,0)</f>
        <v>0</v>
      </c>
      <c r="AC193" s="33">
        <f>IF(AQ193="1",BI193,0)</f>
        <v>0</v>
      </c>
      <c r="AD193" s="33">
        <f>IF(AQ193="7",BH193,0)</f>
        <v>0</v>
      </c>
      <c r="AE193" s="33">
        <f>IF(AQ193="7",BI193,0)</f>
        <v>0</v>
      </c>
      <c r="AF193" s="33">
        <f>IF(AQ193="2",BH193,0)</f>
        <v>0</v>
      </c>
      <c r="AG193" s="33">
        <f>IF(AQ193="2",BI193,0)</f>
        <v>0</v>
      </c>
      <c r="AH193" s="33">
        <f>IF(AQ193="0",BJ193,0)</f>
        <v>0</v>
      </c>
      <c r="AI193" s="21" t="s">
        <v>421</v>
      </c>
      <c r="AJ193" s="33">
        <f>IF(AN193=0,J193,0)</f>
        <v>0</v>
      </c>
      <c r="AK193" s="33">
        <f>IF(AN193=15,J193,0)</f>
        <v>0</v>
      </c>
      <c r="AL193" s="33">
        <f>IF(AN193=21,J193,0)</f>
        <v>0</v>
      </c>
      <c r="AN193" s="33">
        <v>21</v>
      </c>
      <c r="AO193" s="33">
        <f>G193*0.00002</f>
        <v>0</v>
      </c>
      <c r="AP193" s="33">
        <f>G193*(1-0.00002)</f>
        <v>0</v>
      </c>
      <c r="AQ193" s="51" t="s">
        <v>578</v>
      </c>
      <c r="AV193" s="33">
        <f>AW193+AX193</f>
        <v>0</v>
      </c>
      <c r="AW193" s="33">
        <f>F193*AO193</f>
        <v>0</v>
      </c>
      <c r="AX193" s="33">
        <f>F193*AP193</f>
        <v>0</v>
      </c>
      <c r="AY193" s="51" t="s">
        <v>512</v>
      </c>
      <c r="AZ193" s="51" t="s">
        <v>502</v>
      </c>
      <c r="BA193" s="21" t="s">
        <v>457</v>
      </c>
      <c r="BC193" s="33">
        <f>AW193+AX193</f>
        <v>0</v>
      </c>
      <c r="BD193" s="33">
        <f>G193/(100-BE193)*100</f>
        <v>0</v>
      </c>
      <c r="BE193" s="33">
        <v>0</v>
      </c>
      <c r="BF193" s="33">
        <f>193</f>
        <v>193</v>
      </c>
      <c r="BH193" s="33">
        <f>F193*AO193</f>
        <v>0</v>
      </c>
      <c r="BI193" s="33">
        <f>F193*AP193</f>
        <v>0</v>
      </c>
      <c r="BJ193" s="33">
        <f>F193*G193</f>
        <v>0</v>
      </c>
      <c r="BK193" s="33"/>
      <c r="BL193" s="33">
        <v>85</v>
      </c>
      <c r="BW193" s="33">
        <v>21</v>
      </c>
    </row>
    <row r="194" spans="1:75" ht="15" customHeight="1">
      <c r="A194" s="45"/>
      <c r="C194" s="13" t="s">
        <v>323</v>
      </c>
      <c r="D194" s="13" t="s">
        <v>421</v>
      </c>
      <c r="F194" s="49">
        <v>1</v>
      </c>
      <c r="K194" s="7"/>
    </row>
    <row r="195" spans="1:75" ht="15" customHeight="1">
      <c r="A195" s="45"/>
      <c r="C195" s="13" t="s">
        <v>392</v>
      </c>
      <c r="D195" s="13" t="s">
        <v>421</v>
      </c>
      <c r="F195" s="49">
        <v>2</v>
      </c>
      <c r="K195" s="7"/>
    </row>
    <row r="196" spans="1:75" ht="15" customHeight="1">
      <c r="A196" s="45"/>
      <c r="C196" s="13" t="s">
        <v>458</v>
      </c>
      <c r="D196" s="13" t="s">
        <v>421</v>
      </c>
      <c r="F196" s="49">
        <v>7.0000000000000009</v>
      </c>
      <c r="K196" s="7"/>
    </row>
    <row r="197" spans="1:75" ht="15" customHeight="1">
      <c r="A197" s="45"/>
      <c r="C197" s="13" t="s">
        <v>212</v>
      </c>
      <c r="D197" s="13" t="s">
        <v>421</v>
      </c>
      <c r="F197" s="49">
        <v>2</v>
      </c>
      <c r="K197" s="7"/>
    </row>
    <row r="198" spans="1:75" ht="15" customHeight="1">
      <c r="A198" s="45"/>
      <c r="C198" s="13" t="s">
        <v>601</v>
      </c>
      <c r="D198" s="13" t="s">
        <v>421</v>
      </c>
      <c r="F198" s="49">
        <v>4</v>
      </c>
      <c r="K198" s="7"/>
    </row>
    <row r="199" spans="1:75" ht="15" customHeight="1">
      <c r="A199" s="45"/>
      <c r="C199" s="13" t="s">
        <v>606</v>
      </c>
      <c r="D199" s="13" t="s">
        <v>421</v>
      </c>
      <c r="F199" s="49">
        <v>4</v>
      </c>
      <c r="K199" s="7"/>
    </row>
    <row r="200" spans="1:75" ht="15" customHeight="1">
      <c r="A200" s="45"/>
      <c r="C200" s="13" t="s">
        <v>364</v>
      </c>
      <c r="D200" s="13" t="s">
        <v>421</v>
      </c>
      <c r="F200" s="49">
        <v>2</v>
      </c>
      <c r="K200" s="7"/>
    </row>
    <row r="201" spans="1:75" ht="13.5" customHeight="1">
      <c r="A201" s="2" t="s">
        <v>127</v>
      </c>
      <c r="B201" s="5" t="s">
        <v>62</v>
      </c>
      <c r="C201" s="66" t="s">
        <v>265</v>
      </c>
      <c r="D201" s="63"/>
      <c r="E201" s="5" t="s">
        <v>147</v>
      </c>
      <c r="F201" s="33">
        <v>1</v>
      </c>
      <c r="G201" s="33">
        <v>0</v>
      </c>
      <c r="H201" s="33">
        <f t="shared" ref="H201:H208" si="0">F201*AO201</f>
        <v>0</v>
      </c>
      <c r="I201" s="33">
        <f t="shared" ref="I201:I208" si="1">F201*AP201</f>
        <v>0</v>
      </c>
      <c r="J201" s="33">
        <f t="shared" ref="J201:J208" si="2">F201*G201</f>
        <v>0</v>
      </c>
      <c r="K201" s="6" t="s">
        <v>421</v>
      </c>
      <c r="Z201" s="33">
        <f t="shared" ref="Z201:Z208" si="3">IF(AQ201="5",BJ201,0)</f>
        <v>0</v>
      </c>
      <c r="AB201" s="33">
        <f t="shared" ref="AB201:AB208" si="4">IF(AQ201="1",BH201,0)</f>
        <v>0</v>
      </c>
      <c r="AC201" s="33">
        <f t="shared" ref="AC201:AC208" si="5">IF(AQ201="1",BI201,0)</f>
        <v>0</v>
      </c>
      <c r="AD201" s="33">
        <f t="shared" ref="AD201:AD208" si="6">IF(AQ201="7",BH201,0)</f>
        <v>0</v>
      </c>
      <c r="AE201" s="33">
        <f t="shared" ref="AE201:AE208" si="7">IF(AQ201="7",BI201,0)</f>
        <v>0</v>
      </c>
      <c r="AF201" s="33">
        <f t="shared" ref="AF201:AF208" si="8">IF(AQ201="2",BH201,0)</f>
        <v>0</v>
      </c>
      <c r="AG201" s="33">
        <f t="shared" ref="AG201:AG208" si="9">IF(AQ201="2",BI201,0)</f>
        <v>0</v>
      </c>
      <c r="AH201" s="33">
        <f t="shared" ref="AH201:AH208" si="10">IF(AQ201="0",BJ201,0)</f>
        <v>0</v>
      </c>
      <c r="AI201" s="21" t="s">
        <v>421</v>
      </c>
      <c r="AJ201" s="33">
        <f t="shared" ref="AJ201:AJ208" si="11">IF(AN201=0,J201,0)</f>
        <v>0</v>
      </c>
      <c r="AK201" s="33">
        <f t="shared" ref="AK201:AK208" si="12">IF(AN201=15,J201,0)</f>
        <v>0</v>
      </c>
      <c r="AL201" s="33">
        <f t="shared" ref="AL201:AL208" si="13">IF(AN201=21,J201,0)</f>
        <v>0</v>
      </c>
      <c r="AN201" s="33">
        <v>21</v>
      </c>
      <c r="AO201" s="33">
        <f t="shared" ref="AO201:AO207" si="14">G201*1</f>
        <v>0</v>
      </c>
      <c r="AP201" s="33">
        <f t="shared" ref="AP201:AP207" si="15">G201*(1-1)</f>
        <v>0</v>
      </c>
      <c r="AQ201" s="51" t="s">
        <v>578</v>
      </c>
      <c r="AV201" s="33">
        <f t="shared" ref="AV201:AV208" si="16">AW201+AX201</f>
        <v>0</v>
      </c>
      <c r="AW201" s="33">
        <f t="shared" ref="AW201:AW208" si="17">F201*AO201</f>
        <v>0</v>
      </c>
      <c r="AX201" s="33">
        <f t="shared" ref="AX201:AX208" si="18">F201*AP201</f>
        <v>0</v>
      </c>
      <c r="AY201" s="51" t="s">
        <v>512</v>
      </c>
      <c r="AZ201" s="51" t="s">
        <v>502</v>
      </c>
      <c r="BA201" s="21" t="s">
        <v>457</v>
      </c>
      <c r="BC201" s="33">
        <f t="shared" ref="BC201:BC208" si="19">AW201+AX201</f>
        <v>0</v>
      </c>
      <c r="BD201" s="33">
        <f t="shared" ref="BD201:BD208" si="20">G201/(100-BE201)*100</f>
        <v>0</v>
      </c>
      <c r="BE201" s="33">
        <v>0</v>
      </c>
      <c r="BF201" s="33">
        <f>201</f>
        <v>201</v>
      </c>
      <c r="BH201" s="33">
        <f t="shared" ref="BH201:BH208" si="21">F201*AO201</f>
        <v>0</v>
      </c>
      <c r="BI201" s="33">
        <f t="shared" ref="BI201:BI208" si="22">F201*AP201</f>
        <v>0</v>
      </c>
      <c r="BJ201" s="33">
        <f t="shared" ref="BJ201:BJ208" si="23">F201*G201</f>
        <v>0</v>
      </c>
      <c r="BK201" s="33"/>
      <c r="BL201" s="33">
        <v>85</v>
      </c>
      <c r="BW201" s="33">
        <v>21</v>
      </c>
    </row>
    <row r="202" spans="1:75" ht="13.5" customHeight="1">
      <c r="A202" s="2" t="s">
        <v>467</v>
      </c>
      <c r="B202" s="5" t="s">
        <v>456</v>
      </c>
      <c r="C202" s="66" t="s">
        <v>547</v>
      </c>
      <c r="D202" s="63"/>
      <c r="E202" s="5" t="s">
        <v>147</v>
      </c>
      <c r="F202" s="33">
        <v>2</v>
      </c>
      <c r="G202" s="33">
        <v>0</v>
      </c>
      <c r="H202" s="33">
        <f t="shared" si="0"/>
        <v>0</v>
      </c>
      <c r="I202" s="33">
        <f t="shared" si="1"/>
        <v>0</v>
      </c>
      <c r="J202" s="33">
        <f t="shared" si="2"/>
        <v>0</v>
      </c>
      <c r="K202" s="6" t="s">
        <v>421</v>
      </c>
      <c r="Z202" s="33">
        <f t="shared" si="3"/>
        <v>0</v>
      </c>
      <c r="AB202" s="33">
        <f t="shared" si="4"/>
        <v>0</v>
      </c>
      <c r="AC202" s="33">
        <f t="shared" si="5"/>
        <v>0</v>
      </c>
      <c r="AD202" s="33">
        <f t="shared" si="6"/>
        <v>0</v>
      </c>
      <c r="AE202" s="33">
        <f t="shared" si="7"/>
        <v>0</v>
      </c>
      <c r="AF202" s="33">
        <f t="shared" si="8"/>
        <v>0</v>
      </c>
      <c r="AG202" s="33">
        <f t="shared" si="9"/>
        <v>0</v>
      </c>
      <c r="AH202" s="33">
        <f t="shared" si="10"/>
        <v>0</v>
      </c>
      <c r="AI202" s="21" t="s">
        <v>421</v>
      </c>
      <c r="AJ202" s="33">
        <f t="shared" si="11"/>
        <v>0</v>
      </c>
      <c r="AK202" s="33">
        <f t="shared" si="12"/>
        <v>0</v>
      </c>
      <c r="AL202" s="33">
        <f t="shared" si="13"/>
        <v>0</v>
      </c>
      <c r="AN202" s="33">
        <v>21</v>
      </c>
      <c r="AO202" s="33">
        <f t="shared" si="14"/>
        <v>0</v>
      </c>
      <c r="AP202" s="33">
        <f t="shared" si="15"/>
        <v>0</v>
      </c>
      <c r="AQ202" s="51" t="s">
        <v>578</v>
      </c>
      <c r="AV202" s="33">
        <f t="shared" si="16"/>
        <v>0</v>
      </c>
      <c r="AW202" s="33">
        <f t="shared" si="17"/>
        <v>0</v>
      </c>
      <c r="AX202" s="33">
        <f t="shared" si="18"/>
        <v>0</v>
      </c>
      <c r="AY202" s="51" t="s">
        <v>512</v>
      </c>
      <c r="AZ202" s="51" t="s">
        <v>502</v>
      </c>
      <c r="BA202" s="21" t="s">
        <v>457</v>
      </c>
      <c r="BC202" s="33">
        <f t="shared" si="19"/>
        <v>0</v>
      </c>
      <c r="BD202" s="33">
        <f t="shared" si="20"/>
        <v>0</v>
      </c>
      <c r="BE202" s="33">
        <v>0</v>
      </c>
      <c r="BF202" s="33">
        <f>202</f>
        <v>202</v>
      </c>
      <c r="BH202" s="33">
        <f t="shared" si="21"/>
        <v>0</v>
      </c>
      <c r="BI202" s="33">
        <f t="shared" si="22"/>
        <v>0</v>
      </c>
      <c r="BJ202" s="33">
        <f t="shared" si="23"/>
        <v>0</v>
      </c>
      <c r="BK202" s="33"/>
      <c r="BL202" s="33">
        <v>85</v>
      </c>
      <c r="BW202" s="33">
        <v>21</v>
      </c>
    </row>
    <row r="203" spans="1:75" ht="13.5" customHeight="1">
      <c r="A203" s="2" t="s">
        <v>52</v>
      </c>
      <c r="B203" s="5" t="s">
        <v>96</v>
      </c>
      <c r="C203" s="66" t="s">
        <v>77</v>
      </c>
      <c r="D203" s="63"/>
      <c r="E203" s="5" t="s">
        <v>147</v>
      </c>
      <c r="F203" s="33">
        <v>7</v>
      </c>
      <c r="G203" s="33">
        <v>0</v>
      </c>
      <c r="H203" s="33">
        <f t="shared" si="0"/>
        <v>0</v>
      </c>
      <c r="I203" s="33">
        <f t="shared" si="1"/>
        <v>0</v>
      </c>
      <c r="J203" s="33">
        <f t="shared" si="2"/>
        <v>0</v>
      </c>
      <c r="K203" s="6" t="s">
        <v>421</v>
      </c>
      <c r="Z203" s="33">
        <f t="shared" si="3"/>
        <v>0</v>
      </c>
      <c r="AB203" s="33">
        <f t="shared" si="4"/>
        <v>0</v>
      </c>
      <c r="AC203" s="33">
        <f t="shared" si="5"/>
        <v>0</v>
      </c>
      <c r="AD203" s="33">
        <f t="shared" si="6"/>
        <v>0</v>
      </c>
      <c r="AE203" s="33">
        <f t="shared" si="7"/>
        <v>0</v>
      </c>
      <c r="AF203" s="33">
        <f t="shared" si="8"/>
        <v>0</v>
      </c>
      <c r="AG203" s="33">
        <f t="shared" si="9"/>
        <v>0</v>
      </c>
      <c r="AH203" s="33">
        <f t="shared" si="10"/>
        <v>0</v>
      </c>
      <c r="AI203" s="21" t="s">
        <v>421</v>
      </c>
      <c r="AJ203" s="33">
        <f t="shared" si="11"/>
        <v>0</v>
      </c>
      <c r="AK203" s="33">
        <f t="shared" si="12"/>
        <v>0</v>
      </c>
      <c r="AL203" s="33">
        <f t="shared" si="13"/>
        <v>0</v>
      </c>
      <c r="AN203" s="33">
        <v>21</v>
      </c>
      <c r="AO203" s="33">
        <f t="shared" si="14"/>
        <v>0</v>
      </c>
      <c r="AP203" s="33">
        <f t="shared" si="15"/>
        <v>0</v>
      </c>
      <c r="AQ203" s="51" t="s">
        <v>578</v>
      </c>
      <c r="AV203" s="33">
        <f t="shared" si="16"/>
        <v>0</v>
      </c>
      <c r="AW203" s="33">
        <f t="shared" si="17"/>
        <v>0</v>
      </c>
      <c r="AX203" s="33">
        <f t="shared" si="18"/>
        <v>0</v>
      </c>
      <c r="AY203" s="51" t="s">
        <v>512</v>
      </c>
      <c r="AZ203" s="51" t="s">
        <v>502</v>
      </c>
      <c r="BA203" s="21" t="s">
        <v>457</v>
      </c>
      <c r="BC203" s="33">
        <f t="shared" si="19"/>
        <v>0</v>
      </c>
      <c r="BD203" s="33">
        <f t="shared" si="20"/>
        <v>0</v>
      </c>
      <c r="BE203" s="33">
        <v>0</v>
      </c>
      <c r="BF203" s="33">
        <f>203</f>
        <v>203</v>
      </c>
      <c r="BH203" s="33">
        <f t="shared" si="21"/>
        <v>0</v>
      </c>
      <c r="BI203" s="33">
        <f t="shared" si="22"/>
        <v>0</v>
      </c>
      <c r="BJ203" s="33">
        <f t="shared" si="23"/>
        <v>0</v>
      </c>
      <c r="BK203" s="33"/>
      <c r="BL203" s="33">
        <v>85</v>
      </c>
      <c r="BW203" s="33">
        <v>21</v>
      </c>
    </row>
    <row r="204" spans="1:75" ht="13.5" customHeight="1">
      <c r="A204" s="2" t="s">
        <v>463</v>
      </c>
      <c r="B204" s="5" t="s">
        <v>13</v>
      </c>
      <c r="C204" s="66" t="s">
        <v>144</v>
      </c>
      <c r="D204" s="63"/>
      <c r="E204" s="5" t="s">
        <v>147</v>
      </c>
      <c r="F204" s="33">
        <v>2</v>
      </c>
      <c r="G204" s="33">
        <v>0</v>
      </c>
      <c r="H204" s="33">
        <f t="shared" si="0"/>
        <v>0</v>
      </c>
      <c r="I204" s="33">
        <f t="shared" si="1"/>
        <v>0</v>
      </c>
      <c r="J204" s="33">
        <f t="shared" si="2"/>
        <v>0</v>
      </c>
      <c r="K204" s="6" t="s">
        <v>421</v>
      </c>
      <c r="Z204" s="33">
        <f t="shared" si="3"/>
        <v>0</v>
      </c>
      <c r="AB204" s="33">
        <f t="shared" si="4"/>
        <v>0</v>
      </c>
      <c r="AC204" s="33">
        <f t="shared" si="5"/>
        <v>0</v>
      </c>
      <c r="AD204" s="33">
        <f t="shared" si="6"/>
        <v>0</v>
      </c>
      <c r="AE204" s="33">
        <f t="shared" si="7"/>
        <v>0</v>
      </c>
      <c r="AF204" s="33">
        <f t="shared" si="8"/>
        <v>0</v>
      </c>
      <c r="AG204" s="33">
        <f t="shared" si="9"/>
        <v>0</v>
      </c>
      <c r="AH204" s="33">
        <f t="shared" si="10"/>
        <v>0</v>
      </c>
      <c r="AI204" s="21" t="s">
        <v>421</v>
      </c>
      <c r="AJ204" s="33">
        <f t="shared" si="11"/>
        <v>0</v>
      </c>
      <c r="AK204" s="33">
        <f t="shared" si="12"/>
        <v>0</v>
      </c>
      <c r="AL204" s="33">
        <f t="shared" si="13"/>
        <v>0</v>
      </c>
      <c r="AN204" s="33">
        <v>21</v>
      </c>
      <c r="AO204" s="33">
        <f t="shared" si="14"/>
        <v>0</v>
      </c>
      <c r="AP204" s="33">
        <f t="shared" si="15"/>
        <v>0</v>
      </c>
      <c r="AQ204" s="51" t="s">
        <v>578</v>
      </c>
      <c r="AV204" s="33">
        <f t="shared" si="16"/>
        <v>0</v>
      </c>
      <c r="AW204" s="33">
        <f t="shared" si="17"/>
        <v>0</v>
      </c>
      <c r="AX204" s="33">
        <f t="shared" si="18"/>
        <v>0</v>
      </c>
      <c r="AY204" s="51" t="s">
        <v>512</v>
      </c>
      <c r="AZ204" s="51" t="s">
        <v>502</v>
      </c>
      <c r="BA204" s="21" t="s">
        <v>457</v>
      </c>
      <c r="BC204" s="33">
        <f t="shared" si="19"/>
        <v>0</v>
      </c>
      <c r="BD204" s="33">
        <f t="shared" si="20"/>
        <v>0</v>
      </c>
      <c r="BE204" s="33">
        <v>0</v>
      </c>
      <c r="BF204" s="33">
        <f>204</f>
        <v>204</v>
      </c>
      <c r="BH204" s="33">
        <f t="shared" si="21"/>
        <v>0</v>
      </c>
      <c r="BI204" s="33">
        <f t="shared" si="22"/>
        <v>0</v>
      </c>
      <c r="BJ204" s="33">
        <f t="shared" si="23"/>
        <v>0</v>
      </c>
      <c r="BK204" s="33"/>
      <c r="BL204" s="33">
        <v>85</v>
      </c>
      <c r="BW204" s="33">
        <v>21</v>
      </c>
    </row>
    <row r="205" spans="1:75" ht="13.5" customHeight="1">
      <c r="A205" s="2" t="s">
        <v>371</v>
      </c>
      <c r="B205" s="5" t="s">
        <v>585</v>
      </c>
      <c r="C205" s="66" t="s">
        <v>33</v>
      </c>
      <c r="D205" s="63"/>
      <c r="E205" s="5" t="s">
        <v>147</v>
      </c>
      <c r="F205" s="33">
        <v>4</v>
      </c>
      <c r="G205" s="33">
        <v>0</v>
      </c>
      <c r="H205" s="33">
        <f t="shared" si="0"/>
        <v>0</v>
      </c>
      <c r="I205" s="33">
        <f t="shared" si="1"/>
        <v>0</v>
      </c>
      <c r="J205" s="33">
        <f t="shared" si="2"/>
        <v>0</v>
      </c>
      <c r="K205" s="6" t="s">
        <v>421</v>
      </c>
      <c r="Z205" s="33">
        <f t="shared" si="3"/>
        <v>0</v>
      </c>
      <c r="AB205" s="33">
        <f t="shared" si="4"/>
        <v>0</v>
      </c>
      <c r="AC205" s="33">
        <f t="shared" si="5"/>
        <v>0</v>
      </c>
      <c r="AD205" s="33">
        <f t="shared" si="6"/>
        <v>0</v>
      </c>
      <c r="AE205" s="33">
        <f t="shared" si="7"/>
        <v>0</v>
      </c>
      <c r="AF205" s="33">
        <f t="shared" si="8"/>
        <v>0</v>
      </c>
      <c r="AG205" s="33">
        <f t="shared" si="9"/>
        <v>0</v>
      </c>
      <c r="AH205" s="33">
        <f t="shared" si="10"/>
        <v>0</v>
      </c>
      <c r="AI205" s="21" t="s">
        <v>421</v>
      </c>
      <c r="AJ205" s="33">
        <f t="shared" si="11"/>
        <v>0</v>
      </c>
      <c r="AK205" s="33">
        <f t="shared" si="12"/>
        <v>0</v>
      </c>
      <c r="AL205" s="33">
        <f t="shared" si="13"/>
        <v>0</v>
      </c>
      <c r="AN205" s="33">
        <v>21</v>
      </c>
      <c r="AO205" s="33">
        <f t="shared" si="14"/>
        <v>0</v>
      </c>
      <c r="AP205" s="33">
        <f t="shared" si="15"/>
        <v>0</v>
      </c>
      <c r="AQ205" s="51" t="s">
        <v>578</v>
      </c>
      <c r="AV205" s="33">
        <f t="shared" si="16"/>
        <v>0</v>
      </c>
      <c r="AW205" s="33">
        <f t="shared" si="17"/>
        <v>0</v>
      </c>
      <c r="AX205" s="33">
        <f t="shared" si="18"/>
        <v>0</v>
      </c>
      <c r="AY205" s="51" t="s">
        <v>512</v>
      </c>
      <c r="AZ205" s="51" t="s">
        <v>502</v>
      </c>
      <c r="BA205" s="21" t="s">
        <v>457</v>
      </c>
      <c r="BC205" s="33">
        <f t="shared" si="19"/>
        <v>0</v>
      </c>
      <c r="BD205" s="33">
        <f t="shared" si="20"/>
        <v>0</v>
      </c>
      <c r="BE205" s="33">
        <v>0</v>
      </c>
      <c r="BF205" s="33">
        <f>205</f>
        <v>205</v>
      </c>
      <c r="BH205" s="33">
        <f t="shared" si="21"/>
        <v>0</v>
      </c>
      <c r="BI205" s="33">
        <f t="shared" si="22"/>
        <v>0</v>
      </c>
      <c r="BJ205" s="33">
        <f t="shared" si="23"/>
        <v>0</v>
      </c>
      <c r="BK205" s="33"/>
      <c r="BL205" s="33">
        <v>85</v>
      </c>
      <c r="BW205" s="33">
        <v>21</v>
      </c>
    </row>
    <row r="206" spans="1:75" ht="13.5" customHeight="1">
      <c r="A206" s="2" t="s">
        <v>588</v>
      </c>
      <c r="B206" s="5" t="s">
        <v>26</v>
      </c>
      <c r="C206" s="66" t="s">
        <v>557</v>
      </c>
      <c r="D206" s="63"/>
      <c r="E206" s="5" t="s">
        <v>147</v>
      </c>
      <c r="F206" s="33">
        <v>4</v>
      </c>
      <c r="G206" s="33">
        <v>0</v>
      </c>
      <c r="H206" s="33">
        <f t="shared" si="0"/>
        <v>0</v>
      </c>
      <c r="I206" s="33">
        <f t="shared" si="1"/>
        <v>0</v>
      </c>
      <c r="J206" s="33">
        <f t="shared" si="2"/>
        <v>0</v>
      </c>
      <c r="K206" s="6" t="s">
        <v>421</v>
      </c>
      <c r="Z206" s="33">
        <f t="shared" si="3"/>
        <v>0</v>
      </c>
      <c r="AB206" s="33">
        <f t="shared" si="4"/>
        <v>0</v>
      </c>
      <c r="AC206" s="33">
        <f t="shared" si="5"/>
        <v>0</v>
      </c>
      <c r="AD206" s="33">
        <f t="shared" si="6"/>
        <v>0</v>
      </c>
      <c r="AE206" s="33">
        <f t="shared" si="7"/>
        <v>0</v>
      </c>
      <c r="AF206" s="33">
        <f t="shared" si="8"/>
        <v>0</v>
      </c>
      <c r="AG206" s="33">
        <f t="shared" si="9"/>
        <v>0</v>
      </c>
      <c r="AH206" s="33">
        <f t="shared" si="10"/>
        <v>0</v>
      </c>
      <c r="AI206" s="21" t="s">
        <v>421</v>
      </c>
      <c r="AJ206" s="33">
        <f t="shared" si="11"/>
        <v>0</v>
      </c>
      <c r="AK206" s="33">
        <f t="shared" si="12"/>
        <v>0</v>
      </c>
      <c r="AL206" s="33">
        <f t="shared" si="13"/>
        <v>0</v>
      </c>
      <c r="AN206" s="33">
        <v>21</v>
      </c>
      <c r="AO206" s="33">
        <f t="shared" si="14"/>
        <v>0</v>
      </c>
      <c r="AP206" s="33">
        <f t="shared" si="15"/>
        <v>0</v>
      </c>
      <c r="AQ206" s="51" t="s">
        <v>578</v>
      </c>
      <c r="AV206" s="33">
        <f t="shared" si="16"/>
        <v>0</v>
      </c>
      <c r="AW206" s="33">
        <f t="shared" si="17"/>
        <v>0</v>
      </c>
      <c r="AX206" s="33">
        <f t="shared" si="18"/>
        <v>0</v>
      </c>
      <c r="AY206" s="51" t="s">
        <v>512</v>
      </c>
      <c r="AZ206" s="51" t="s">
        <v>502</v>
      </c>
      <c r="BA206" s="21" t="s">
        <v>457</v>
      </c>
      <c r="BC206" s="33">
        <f t="shared" si="19"/>
        <v>0</v>
      </c>
      <c r="BD206" s="33">
        <f t="shared" si="20"/>
        <v>0</v>
      </c>
      <c r="BE206" s="33">
        <v>0</v>
      </c>
      <c r="BF206" s="33">
        <f>206</f>
        <v>206</v>
      </c>
      <c r="BH206" s="33">
        <f t="shared" si="21"/>
        <v>0</v>
      </c>
      <c r="BI206" s="33">
        <f t="shared" si="22"/>
        <v>0</v>
      </c>
      <c r="BJ206" s="33">
        <f t="shared" si="23"/>
        <v>0</v>
      </c>
      <c r="BK206" s="33"/>
      <c r="BL206" s="33">
        <v>85</v>
      </c>
      <c r="BW206" s="33">
        <v>21</v>
      </c>
    </row>
    <row r="207" spans="1:75" ht="13.5" customHeight="1">
      <c r="A207" s="2" t="s">
        <v>542</v>
      </c>
      <c r="B207" s="5" t="s">
        <v>453</v>
      </c>
      <c r="C207" s="66" t="s">
        <v>398</v>
      </c>
      <c r="D207" s="63"/>
      <c r="E207" s="5" t="s">
        <v>147</v>
      </c>
      <c r="F207" s="33">
        <v>2</v>
      </c>
      <c r="G207" s="33">
        <v>0</v>
      </c>
      <c r="H207" s="33">
        <f t="shared" si="0"/>
        <v>0</v>
      </c>
      <c r="I207" s="33">
        <f t="shared" si="1"/>
        <v>0</v>
      </c>
      <c r="J207" s="33">
        <f t="shared" si="2"/>
        <v>0</v>
      </c>
      <c r="K207" s="6" t="s">
        <v>421</v>
      </c>
      <c r="Z207" s="33">
        <f t="shared" si="3"/>
        <v>0</v>
      </c>
      <c r="AB207" s="33">
        <f t="shared" si="4"/>
        <v>0</v>
      </c>
      <c r="AC207" s="33">
        <f t="shared" si="5"/>
        <v>0</v>
      </c>
      <c r="AD207" s="33">
        <f t="shared" si="6"/>
        <v>0</v>
      </c>
      <c r="AE207" s="33">
        <f t="shared" si="7"/>
        <v>0</v>
      </c>
      <c r="AF207" s="33">
        <f t="shared" si="8"/>
        <v>0</v>
      </c>
      <c r="AG207" s="33">
        <f t="shared" si="9"/>
        <v>0</v>
      </c>
      <c r="AH207" s="33">
        <f t="shared" si="10"/>
        <v>0</v>
      </c>
      <c r="AI207" s="21" t="s">
        <v>421</v>
      </c>
      <c r="AJ207" s="33">
        <f t="shared" si="11"/>
        <v>0</v>
      </c>
      <c r="AK207" s="33">
        <f t="shared" si="12"/>
        <v>0</v>
      </c>
      <c r="AL207" s="33">
        <f t="shared" si="13"/>
        <v>0</v>
      </c>
      <c r="AN207" s="33">
        <v>21</v>
      </c>
      <c r="AO207" s="33">
        <f t="shared" si="14"/>
        <v>0</v>
      </c>
      <c r="AP207" s="33">
        <f t="shared" si="15"/>
        <v>0</v>
      </c>
      <c r="AQ207" s="51" t="s">
        <v>578</v>
      </c>
      <c r="AV207" s="33">
        <f t="shared" si="16"/>
        <v>0</v>
      </c>
      <c r="AW207" s="33">
        <f t="shared" si="17"/>
        <v>0</v>
      </c>
      <c r="AX207" s="33">
        <f t="shared" si="18"/>
        <v>0</v>
      </c>
      <c r="AY207" s="51" t="s">
        <v>512</v>
      </c>
      <c r="AZ207" s="51" t="s">
        <v>502</v>
      </c>
      <c r="BA207" s="21" t="s">
        <v>457</v>
      </c>
      <c r="BC207" s="33">
        <f t="shared" si="19"/>
        <v>0</v>
      </c>
      <c r="BD207" s="33">
        <f t="shared" si="20"/>
        <v>0</v>
      </c>
      <c r="BE207" s="33">
        <v>0</v>
      </c>
      <c r="BF207" s="33">
        <f>207</f>
        <v>207</v>
      </c>
      <c r="BH207" s="33">
        <f t="shared" si="21"/>
        <v>0</v>
      </c>
      <c r="BI207" s="33">
        <f t="shared" si="22"/>
        <v>0</v>
      </c>
      <c r="BJ207" s="33">
        <f t="shared" si="23"/>
        <v>0</v>
      </c>
      <c r="BK207" s="33"/>
      <c r="BL207" s="33">
        <v>85</v>
      </c>
      <c r="BW207" s="33">
        <v>21</v>
      </c>
    </row>
    <row r="208" spans="1:75" ht="13.5" customHeight="1">
      <c r="A208" s="2" t="s">
        <v>406</v>
      </c>
      <c r="B208" s="5" t="s">
        <v>300</v>
      </c>
      <c r="C208" s="66" t="s">
        <v>331</v>
      </c>
      <c r="D208" s="63"/>
      <c r="E208" s="5" t="s">
        <v>147</v>
      </c>
      <c r="F208" s="33">
        <v>5</v>
      </c>
      <c r="G208" s="33">
        <v>0</v>
      </c>
      <c r="H208" s="33">
        <f t="shared" si="0"/>
        <v>0</v>
      </c>
      <c r="I208" s="33">
        <f t="shared" si="1"/>
        <v>0</v>
      </c>
      <c r="J208" s="33">
        <f t="shared" si="2"/>
        <v>0</v>
      </c>
      <c r="K208" s="6" t="s">
        <v>416</v>
      </c>
      <c r="Z208" s="33">
        <f t="shared" si="3"/>
        <v>0</v>
      </c>
      <c r="AB208" s="33">
        <f t="shared" si="4"/>
        <v>0</v>
      </c>
      <c r="AC208" s="33">
        <f t="shared" si="5"/>
        <v>0</v>
      </c>
      <c r="AD208" s="33">
        <f t="shared" si="6"/>
        <v>0</v>
      </c>
      <c r="AE208" s="33">
        <f t="shared" si="7"/>
        <v>0</v>
      </c>
      <c r="AF208" s="33">
        <f t="shared" si="8"/>
        <v>0</v>
      </c>
      <c r="AG208" s="33">
        <f t="shared" si="9"/>
        <v>0</v>
      </c>
      <c r="AH208" s="33">
        <f t="shared" si="10"/>
        <v>0</v>
      </c>
      <c r="AI208" s="21" t="s">
        <v>421</v>
      </c>
      <c r="AJ208" s="33">
        <f t="shared" si="11"/>
        <v>0</v>
      </c>
      <c r="AK208" s="33">
        <f t="shared" si="12"/>
        <v>0</v>
      </c>
      <c r="AL208" s="33">
        <f t="shared" si="13"/>
        <v>0</v>
      </c>
      <c r="AN208" s="33">
        <v>21</v>
      </c>
      <c r="AO208" s="33">
        <f>G208*0.0000190234622701332</f>
        <v>0</v>
      </c>
      <c r="AP208" s="33">
        <f>G208*(1-0.0000190234622701332)</f>
        <v>0</v>
      </c>
      <c r="AQ208" s="51" t="s">
        <v>578</v>
      </c>
      <c r="AV208" s="33">
        <f t="shared" si="16"/>
        <v>0</v>
      </c>
      <c r="AW208" s="33">
        <f t="shared" si="17"/>
        <v>0</v>
      </c>
      <c r="AX208" s="33">
        <f t="shared" si="18"/>
        <v>0</v>
      </c>
      <c r="AY208" s="51" t="s">
        <v>512</v>
      </c>
      <c r="AZ208" s="51" t="s">
        <v>502</v>
      </c>
      <c r="BA208" s="21" t="s">
        <v>457</v>
      </c>
      <c r="BC208" s="33">
        <f t="shared" si="19"/>
        <v>0</v>
      </c>
      <c r="BD208" s="33">
        <f t="shared" si="20"/>
        <v>0</v>
      </c>
      <c r="BE208" s="33">
        <v>0</v>
      </c>
      <c r="BF208" s="33">
        <f>208</f>
        <v>208</v>
      </c>
      <c r="BH208" s="33">
        <f t="shared" si="21"/>
        <v>0</v>
      </c>
      <c r="BI208" s="33">
        <f t="shared" si="22"/>
        <v>0</v>
      </c>
      <c r="BJ208" s="33">
        <f t="shared" si="23"/>
        <v>0</v>
      </c>
      <c r="BK208" s="33"/>
      <c r="BL208" s="33">
        <v>85</v>
      </c>
      <c r="BW208" s="33">
        <v>21</v>
      </c>
    </row>
    <row r="209" spans="1:75" ht="15" customHeight="1">
      <c r="A209" s="45"/>
      <c r="C209" s="13" t="s">
        <v>639</v>
      </c>
      <c r="D209" s="13" t="s">
        <v>421</v>
      </c>
      <c r="F209" s="49">
        <v>2</v>
      </c>
      <c r="K209" s="7"/>
    </row>
    <row r="210" spans="1:75" ht="15" customHeight="1">
      <c r="A210" s="45"/>
      <c r="C210" s="13" t="s">
        <v>391</v>
      </c>
      <c r="D210" s="13" t="s">
        <v>421</v>
      </c>
      <c r="F210" s="49">
        <v>3.0000000000000004</v>
      </c>
      <c r="K210" s="7"/>
    </row>
    <row r="211" spans="1:75" ht="13.5" customHeight="1">
      <c r="A211" s="2" t="s">
        <v>311</v>
      </c>
      <c r="B211" s="5" t="s">
        <v>409</v>
      </c>
      <c r="C211" s="66" t="s">
        <v>90</v>
      </c>
      <c r="D211" s="63"/>
      <c r="E211" s="5" t="s">
        <v>147</v>
      </c>
      <c r="F211" s="33">
        <v>2</v>
      </c>
      <c r="G211" s="33">
        <v>0</v>
      </c>
      <c r="H211" s="33">
        <f>F211*AO211</f>
        <v>0</v>
      </c>
      <c r="I211" s="33">
        <f>F211*AP211</f>
        <v>0</v>
      </c>
      <c r="J211" s="33">
        <f>F211*G211</f>
        <v>0</v>
      </c>
      <c r="K211" s="6" t="s">
        <v>421</v>
      </c>
      <c r="Z211" s="33">
        <f>IF(AQ211="5",BJ211,0)</f>
        <v>0</v>
      </c>
      <c r="AB211" s="33">
        <f>IF(AQ211="1",BH211,0)</f>
        <v>0</v>
      </c>
      <c r="AC211" s="33">
        <f>IF(AQ211="1",BI211,0)</f>
        <v>0</v>
      </c>
      <c r="AD211" s="33">
        <f>IF(AQ211="7",BH211,0)</f>
        <v>0</v>
      </c>
      <c r="AE211" s="33">
        <f>IF(AQ211="7",BI211,0)</f>
        <v>0</v>
      </c>
      <c r="AF211" s="33">
        <f>IF(AQ211="2",BH211,0)</f>
        <v>0</v>
      </c>
      <c r="AG211" s="33">
        <f>IF(AQ211="2",BI211,0)</f>
        <v>0</v>
      </c>
      <c r="AH211" s="33">
        <f>IF(AQ211="0",BJ211,0)</f>
        <v>0</v>
      </c>
      <c r="AI211" s="21" t="s">
        <v>421</v>
      </c>
      <c r="AJ211" s="33">
        <f>IF(AN211=0,J211,0)</f>
        <v>0</v>
      </c>
      <c r="AK211" s="33">
        <f>IF(AN211=15,J211,0)</f>
        <v>0</v>
      </c>
      <c r="AL211" s="33">
        <f>IF(AN211=21,J211,0)</f>
        <v>0</v>
      </c>
      <c r="AN211" s="33">
        <v>21</v>
      </c>
      <c r="AO211" s="33">
        <f>G211*1</f>
        <v>0</v>
      </c>
      <c r="AP211" s="33">
        <f>G211*(1-1)</f>
        <v>0</v>
      </c>
      <c r="AQ211" s="51" t="s">
        <v>578</v>
      </c>
      <c r="AV211" s="33">
        <f>AW211+AX211</f>
        <v>0</v>
      </c>
      <c r="AW211" s="33">
        <f>F211*AO211</f>
        <v>0</v>
      </c>
      <c r="AX211" s="33">
        <f>F211*AP211</f>
        <v>0</v>
      </c>
      <c r="AY211" s="51" t="s">
        <v>512</v>
      </c>
      <c r="AZ211" s="51" t="s">
        <v>502</v>
      </c>
      <c r="BA211" s="21" t="s">
        <v>457</v>
      </c>
      <c r="BC211" s="33">
        <f>AW211+AX211</f>
        <v>0</v>
      </c>
      <c r="BD211" s="33">
        <f>G211/(100-BE211)*100</f>
        <v>0</v>
      </c>
      <c r="BE211" s="33">
        <v>0</v>
      </c>
      <c r="BF211" s="33">
        <f>211</f>
        <v>211</v>
      </c>
      <c r="BH211" s="33">
        <f>F211*AO211</f>
        <v>0</v>
      </c>
      <c r="BI211" s="33">
        <f>F211*AP211</f>
        <v>0</v>
      </c>
      <c r="BJ211" s="33">
        <f>F211*G211</f>
        <v>0</v>
      </c>
      <c r="BK211" s="33"/>
      <c r="BL211" s="33">
        <v>85</v>
      </c>
      <c r="BW211" s="33">
        <v>21</v>
      </c>
    </row>
    <row r="212" spans="1:75" ht="13.5" customHeight="1">
      <c r="A212" s="2" t="s">
        <v>136</v>
      </c>
      <c r="B212" s="5" t="s">
        <v>506</v>
      </c>
      <c r="C212" s="66" t="s">
        <v>41</v>
      </c>
      <c r="D212" s="63"/>
      <c r="E212" s="5" t="s">
        <v>147</v>
      </c>
      <c r="F212" s="33">
        <v>3</v>
      </c>
      <c r="G212" s="33">
        <v>0</v>
      </c>
      <c r="H212" s="33">
        <f>F212*AO212</f>
        <v>0</v>
      </c>
      <c r="I212" s="33">
        <f>F212*AP212</f>
        <v>0</v>
      </c>
      <c r="J212" s="33">
        <f>F212*G212</f>
        <v>0</v>
      </c>
      <c r="K212" s="6" t="s">
        <v>421</v>
      </c>
      <c r="Z212" s="33">
        <f>IF(AQ212="5",BJ212,0)</f>
        <v>0</v>
      </c>
      <c r="AB212" s="33">
        <f>IF(AQ212="1",BH212,0)</f>
        <v>0</v>
      </c>
      <c r="AC212" s="33">
        <f>IF(AQ212="1",BI212,0)</f>
        <v>0</v>
      </c>
      <c r="AD212" s="33">
        <f>IF(AQ212="7",BH212,0)</f>
        <v>0</v>
      </c>
      <c r="AE212" s="33">
        <f>IF(AQ212="7",BI212,0)</f>
        <v>0</v>
      </c>
      <c r="AF212" s="33">
        <f>IF(AQ212="2",BH212,0)</f>
        <v>0</v>
      </c>
      <c r="AG212" s="33">
        <f>IF(AQ212="2",BI212,0)</f>
        <v>0</v>
      </c>
      <c r="AH212" s="33">
        <f>IF(AQ212="0",BJ212,0)</f>
        <v>0</v>
      </c>
      <c r="AI212" s="21" t="s">
        <v>421</v>
      </c>
      <c r="AJ212" s="33">
        <f>IF(AN212=0,J212,0)</f>
        <v>0</v>
      </c>
      <c r="AK212" s="33">
        <f>IF(AN212=15,J212,0)</f>
        <v>0</v>
      </c>
      <c r="AL212" s="33">
        <f>IF(AN212=21,J212,0)</f>
        <v>0</v>
      </c>
      <c r="AN212" s="33">
        <v>21</v>
      </c>
      <c r="AO212" s="33">
        <f>G212*1</f>
        <v>0</v>
      </c>
      <c r="AP212" s="33">
        <f>G212*(1-1)</f>
        <v>0</v>
      </c>
      <c r="AQ212" s="51" t="s">
        <v>578</v>
      </c>
      <c r="AV212" s="33">
        <f>AW212+AX212</f>
        <v>0</v>
      </c>
      <c r="AW212" s="33">
        <f>F212*AO212</f>
        <v>0</v>
      </c>
      <c r="AX212" s="33">
        <f>F212*AP212</f>
        <v>0</v>
      </c>
      <c r="AY212" s="51" t="s">
        <v>512</v>
      </c>
      <c r="AZ212" s="51" t="s">
        <v>502</v>
      </c>
      <c r="BA212" s="21" t="s">
        <v>457</v>
      </c>
      <c r="BC212" s="33">
        <f>AW212+AX212</f>
        <v>0</v>
      </c>
      <c r="BD212" s="33">
        <f>G212/(100-BE212)*100</f>
        <v>0</v>
      </c>
      <c r="BE212" s="33">
        <v>0</v>
      </c>
      <c r="BF212" s="33">
        <f>212</f>
        <v>212</v>
      </c>
      <c r="BH212" s="33">
        <f>F212*AO212</f>
        <v>0</v>
      </c>
      <c r="BI212" s="33">
        <f>F212*AP212</f>
        <v>0</v>
      </c>
      <c r="BJ212" s="33">
        <f>F212*G212</f>
        <v>0</v>
      </c>
      <c r="BK212" s="33"/>
      <c r="BL212" s="33">
        <v>85</v>
      </c>
      <c r="BW212" s="33">
        <v>21</v>
      </c>
    </row>
    <row r="213" spans="1:75" ht="13.5" customHeight="1">
      <c r="A213" s="2" t="s">
        <v>51</v>
      </c>
      <c r="B213" s="5" t="s">
        <v>642</v>
      </c>
      <c r="C213" s="66" t="s">
        <v>635</v>
      </c>
      <c r="D213" s="63"/>
      <c r="E213" s="5" t="s">
        <v>147</v>
      </c>
      <c r="F213" s="33">
        <v>4</v>
      </c>
      <c r="G213" s="33">
        <v>0</v>
      </c>
      <c r="H213" s="33">
        <f>F213*AO213</f>
        <v>0</v>
      </c>
      <c r="I213" s="33">
        <f>F213*AP213</f>
        <v>0</v>
      </c>
      <c r="J213" s="33">
        <f>F213*G213</f>
        <v>0</v>
      </c>
      <c r="K213" s="6" t="s">
        <v>416</v>
      </c>
      <c r="Z213" s="33">
        <f>IF(AQ213="5",BJ213,0)</f>
        <v>0</v>
      </c>
      <c r="AB213" s="33">
        <f>IF(AQ213="1",BH213,0)</f>
        <v>0</v>
      </c>
      <c r="AC213" s="33">
        <f>IF(AQ213="1",BI213,0)</f>
        <v>0</v>
      </c>
      <c r="AD213" s="33">
        <f>IF(AQ213="7",BH213,0)</f>
        <v>0</v>
      </c>
      <c r="AE213" s="33">
        <f>IF(AQ213="7",BI213,0)</f>
        <v>0</v>
      </c>
      <c r="AF213" s="33">
        <f>IF(AQ213="2",BH213,0)</f>
        <v>0</v>
      </c>
      <c r="AG213" s="33">
        <f>IF(AQ213="2",BI213,0)</f>
        <v>0</v>
      </c>
      <c r="AH213" s="33">
        <f>IF(AQ213="0",BJ213,0)</f>
        <v>0</v>
      </c>
      <c r="AI213" s="21" t="s">
        <v>421</v>
      </c>
      <c r="AJ213" s="33">
        <f>IF(AN213=0,J213,0)</f>
        <v>0</v>
      </c>
      <c r="AK213" s="33">
        <f>IF(AN213=15,J213,0)</f>
        <v>0</v>
      </c>
      <c r="AL213" s="33">
        <f>IF(AN213=21,J213,0)</f>
        <v>0</v>
      </c>
      <c r="AN213" s="33">
        <v>21</v>
      </c>
      <c r="AO213" s="33">
        <f>G213*0.0000182233176460941</f>
        <v>0</v>
      </c>
      <c r="AP213" s="33">
        <f>G213*(1-0.0000182233176460941)</f>
        <v>0</v>
      </c>
      <c r="AQ213" s="51" t="s">
        <v>578</v>
      </c>
      <c r="AV213" s="33">
        <f>AW213+AX213</f>
        <v>0</v>
      </c>
      <c r="AW213" s="33">
        <f>F213*AO213</f>
        <v>0</v>
      </c>
      <c r="AX213" s="33">
        <f>F213*AP213</f>
        <v>0</v>
      </c>
      <c r="AY213" s="51" t="s">
        <v>512</v>
      </c>
      <c r="AZ213" s="51" t="s">
        <v>502</v>
      </c>
      <c r="BA213" s="21" t="s">
        <v>457</v>
      </c>
      <c r="BC213" s="33">
        <f>AW213+AX213</f>
        <v>0</v>
      </c>
      <c r="BD213" s="33">
        <f>G213/(100-BE213)*100</f>
        <v>0</v>
      </c>
      <c r="BE213" s="33">
        <v>0</v>
      </c>
      <c r="BF213" s="33">
        <f>213</f>
        <v>213</v>
      </c>
      <c r="BH213" s="33">
        <f>F213*AO213</f>
        <v>0</v>
      </c>
      <c r="BI213" s="33">
        <f>F213*AP213</f>
        <v>0</v>
      </c>
      <c r="BJ213" s="33">
        <f>F213*G213</f>
        <v>0</v>
      </c>
      <c r="BK213" s="33"/>
      <c r="BL213" s="33">
        <v>85</v>
      </c>
      <c r="BW213" s="33">
        <v>21</v>
      </c>
    </row>
    <row r="214" spans="1:75" ht="15" customHeight="1">
      <c r="A214" s="45"/>
      <c r="C214" s="13" t="s">
        <v>533</v>
      </c>
      <c r="D214" s="13" t="s">
        <v>421</v>
      </c>
      <c r="F214" s="49">
        <v>2</v>
      </c>
      <c r="K214" s="7"/>
    </row>
    <row r="215" spans="1:75" ht="15" customHeight="1">
      <c r="A215" s="45"/>
      <c r="C215" s="13" t="s">
        <v>16</v>
      </c>
      <c r="D215" s="13" t="s">
        <v>421</v>
      </c>
      <c r="F215" s="49">
        <v>2</v>
      </c>
      <c r="K215" s="7"/>
    </row>
    <row r="216" spans="1:75" ht="13.5" customHeight="1">
      <c r="A216" s="2" t="s">
        <v>570</v>
      </c>
      <c r="B216" s="5" t="s">
        <v>341</v>
      </c>
      <c r="C216" s="66" t="s">
        <v>491</v>
      </c>
      <c r="D216" s="63"/>
      <c r="E216" s="5" t="s">
        <v>147</v>
      </c>
      <c r="F216" s="33">
        <v>2</v>
      </c>
      <c r="G216" s="33">
        <v>0</v>
      </c>
      <c r="H216" s="33">
        <f>F216*AO216</f>
        <v>0</v>
      </c>
      <c r="I216" s="33">
        <f>F216*AP216</f>
        <v>0</v>
      </c>
      <c r="J216" s="33">
        <f>F216*G216</f>
        <v>0</v>
      </c>
      <c r="K216" s="6" t="s">
        <v>421</v>
      </c>
      <c r="Z216" s="33">
        <f>IF(AQ216="5",BJ216,0)</f>
        <v>0</v>
      </c>
      <c r="AB216" s="33">
        <f>IF(AQ216="1",BH216,0)</f>
        <v>0</v>
      </c>
      <c r="AC216" s="33">
        <f>IF(AQ216="1",BI216,0)</f>
        <v>0</v>
      </c>
      <c r="AD216" s="33">
        <f>IF(AQ216="7",BH216,0)</f>
        <v>0</v>
      </c>
      <c r="AE216" s="33">
        <f>IF(AQ216="7",BI216,0)</f>
        <v>0</v>
      </c>
      <c r="AF216" s="33">
        <f>IF(AQ216="2",BH216,0)</f>
        <v>0</v>
      </c>
      <c r="AG216" s="33">
        <f>IF(AQ216="2",BI216,0)</f>
        <v>0</v>
      </c>
      <c r="AH216" s="33">
        <f>IF(AQ216="0",BJ216,0)</f>
        <v>0</v>
      </c>
      <c r="AI216" s="21" t="s">
        <v>421</v>
      </c>
      <c r="AJ216" s="33">
        <f>IF(AN216=0,J216,0)</f>
        <v>0</v>
      </c>
      <c r="AK216" s="33">
        <f>IF(AN216=15,J216,0)</f>
        <v>0</v>
      </c>
      <c r="AL216" s="33">
        <f>IF(AN216=21,J216,0)</f>
        <v>0</v>
      </c>
      <c r="AN216" s="33">
        <v>21</v>
      </c>
      <c r="AO216" s="33">
        <f>G216*1</f>
        <v>0</v>
      </c>
      <c r="AP216" s="33">
        <f>G216*(1-1)</f>
        <v>0</v>
      </c>
      <c r="AQ216" s="51" t="s">
        <v>578</v>
      </c>
      <c r="AV216" s="33">
        <f>AW216+AX216</f>
        <v>0</v>
      </c>
      <c r="AW216" s="33">
        <f>F216*AO216</f>
        <v>0</v>
      </c>
      <c r="AX216" s="33">
        <f>F216*AP216</f>
        <v>0</v>
      </c>
      <c r="AY216" s="51" t="s">
        <v>512</v>
      </c>
      <c r="AZ216" s="51" t="s">
        <v>502</v>
      </c>
      <c r="BA216" s="21" t="s">
        <v>457</v>
      </c>
      <c r="BC216" s="33">
        <f>AW216+AX216</f>
        <v>0</v>
      </c>
      <c r="BD216" s="33">
        <f>G216/(100-BE216)*100</f>
        <v>0</v>
      </c>
      <c r="BE216" s="33">
        <v>0</v>
      </c>
      <c r="BF216" s="33">
        <f>216</f>
        <v>216</v>
      </c>
      <c r="BH216" s="33">
        <f>F216*AO216</f>
        <v>0</v>
      </c>
      <c r="BI216" s="33">
        <f>F216*AP216</f>
        <v>0</v>
      </c>
      <c r="BJ216" s="33">
        <f>F216*G216</f>
        <v>0</v>
      </c>
      <c r="BK216" s="33"/>
      <c r="BL216" s="33">
        <v>85</v>
      </c>
      <c r="BW216" s="33">
        <v>21</v>
      </c>
    </row>
    <row r="217" spans="1:75" ht="13.5" customHeight="1">
      <c r="A217" s="2" t="s">
        <v>103</v>
      </c>
      <c r="B217" s="5" t="s">
        <v>86</v>
      </c>
      <c r="C217" s="66" t="s">
        <v>192</v>
      </c>
      <c r="D217" s="63"/>
      <c r="E217" s="5" t="s">
        <v>147</v>
      </c>
      <c r="F217" s="33">
        <v>2</v>
      </c>
      <c r="G217" s="33">
        <v>0</v>
      </c>
      <c r="H217" s="33">
        <f>F217*AO217</f>
        <v>0</v>
      </c>
      <c r="I217" s="33">
        <f>F217*AP217</f>
        <v>0</v>
      </c>
      <c r="J217" s="33">
        <f>F217*G217</f>
        <v>0</v>
      </c>
      <c r="K217" s="6" t="s">
        <v>421</v>
      </c>
      <c r="Z217" s="33">
        <f>IF(AQ217="5",BJ217,0)</f>
        <v>0</v>
      </c>
      <c r="AB217" s="33">
        <f>IF(AQ217="1",BH217,0)</f>
        <v>0</v>
      </c>
      <c r="AC217" s="33">
        <f>IF(AQ217="1",BI217,0)</f>
        <v>0</v>
      </c>
      <c r="AD217" s="33">
        <f>IF(AQ217="7",BH217,0)</f>
        <v>0</v>
      </c>
      <c r="AE217" s="33">
        <f>IF(AQ217="7",BI217,0)</f>
        <v>0</v>
      </c>
      <c r="AF217" s="33">
        <f>IF(AQ217="2",BH217,0)</f>
        <v>0</v>
      </c>
      <c r="AG217" s="33">
        <f>IF(AQ217="2",BI217,0)</f>
        <v>0</v>
      </c>
      <c r="AH217" s="33">
        <f>IF(AQ217="0",BJ217,0)</f>
        <v>0</v>
      </c>
      <c r="AI217" s="21" t="s">
        <v>421</v>
      </c>
      <c r="AJ217" s="33">
        <f>IF(AN217=0,J217,0)</f>
        <v>0</v>
      </c>
      <c r="AK217" s="33">
        <f>IF(AN217=15,J217,0)</f>
        <v>0</v>
      </c>
      <c r="AL217" s="33">
        <f>IF(AN217=21,J217,0)</f>
        <v>0</v>
      </c>
      <c r="AN217" s="33">
        <v>21</v>
      </c>
      <c r="AO217" s="33">
        <f>G217*1</f>
        <v>0</v>
      </c>
      <c r="AP217" s="33">
        <f>G217*(1-1)</f>
        <v>0</v>
      </c>
      <c r="AQ217" s="51" t="s">
        <v>578</v>
      </c>
      <c r="AV217" s="33">
        <f>AW217+AX217</f>
        <v>0</v>
      </c>
      <c r="AW217" s="33">
        <f>F217*AO217</f>
        <v>0</v>
      </c>
      <c r="AX217" s="33">
        <f>F217*AP217</f>
        <v>0</v>
      </c>
      <c r="AY217" s="51" t="s">
        <v>512</v>
      </c>
      <c r="AZ217" s="51" t="s">
        <v>502</v>
      </c>
      <c r="BA217" s="21" t="s">
        <v>457</v>
      </c>
      <c r="BC217" s="33">
        <f>AW217+AX217</f>
        <v>0</v>
      </c>
      <c r="BD217" s="33">
        <f>G217/(100-BE217)*100</f>
        <v>0</v>
      </c>
      <c r="BE217" s="33">
        <v>0</v>
      </c>
      <c r="BF217" s="33">
        <f>217</f>
        <v>217</v>
      </c>
      <c r="BH217" s="33">
        <f>F217*AO217</f>
        <v>0</v>
      </c>
      <c r="BI217" s="33">
        <f>F217*AP217</f>
        <v>0</v>
      </c>
      <c r="BJ217" s="33">
        <f>F217*G217</f>
        <v>0</v>
      </c>
      <c r="BK217" s="33"/>
      <c r="BL217" s="33">
        <v>85</v>
      </c>
      <c r="BW217" s="33">
        <v>21</v>
      </c>
    </row>
    <row r="218" spans="1:75" ht="15" customHeight="1">
      <c r="A218" s="54" t="s">
        <v>421</v>
      </c>
      <c r="B218" s="22" t="s">
        <v>24</v>
      </c>
      <c r="C218" s="79" t="s">
        <v>44</v>
      </c>
      <c r="D218" s="80"/>
      <c r="E218" s="3" t="s">
        <v>544</v>
      </c>
      <c r="F218" s="3" t="s">
        <v>544</v>
      </c>
      <c r="G218" s="3" t="s">
        <v>544</v>
      </c>
      <c r="H218" s="35">
        <f>SUM(H219:H234)</f>
        <v>0</v>
      </c>
      <c r="I218" s="35">
        <f>SUM(I219:I234)</f>
        <v>0</v>
      </c>
      <c r="J218" s="35">
        <f>SUM(J219:J234)</f>
        <v>0</v>
      </c>
      <c r="K218" s="16" t="s">
        <v>421</v>
      </c>
      <c r="AI218" s="21" t="s">
        <v>421</v>
      </c>
      <c r="AS218" s="35">
        <f>SUM(AJ219:AJ234)</f>
        <v>0</v>
      </c>
      <c r="AT218" s="35">
        <f>SUM(AK219:AK234)</f>
        <v>0</v>
      </c>
      <c r="AU218" s="35">
        <f>SUM(AL219:AL234)</f>
        <v>0</v>
      </c>
    </row>
    <row r="219" spans="1:75" ht="13.5" customHeight="1">
      <c r="A219" s="2" t="s">
        <v>116</v>
      </c>
      <c r="B219" s="5" t="s">
        <v>403</v>
      </c>
      <c r="C219" s="66" t="s">
        <v>381</v>
      </c>
      <c r="D219" s="63"/>
      <c r="E219" s="5" t="s">
        <v>492</v>
      </c>
      <c r="F219" s="33">
        <v>137.9</v>
      </c>
      <c r="G219" s="33">
        <v>0</v>
      </c>
      <c r="H219" s="33">
        <f>F219*AO219</f>
        <v>0</v>
      </c>
      <c r="I219" s="33">
        <f>F219*AP219</f>
        <v>0</v>
      </c>
      <c r="J219" s="33">
        <f>F219*G219</f>
        <v>0</v>
      </c>
      <c r="K219" s="6" t="s">
        <v>416</v>
      </c>
      <c r="Z219" s="33">
        <f>IF(AQ219="5",BJ219,0)</f>
        <v>0</v>
      </c>
      <c r="AB219" s="33">
        <f>IF(AQ219="1",BH219,0)</f>
        <v>0</v>
      </c>
      <c r="AC219" s="33">
        <f>IF(AQ219="1",BI219,0)</f>
        <v>0</v>
      </c>
      <c r="AD219" s="33">
        <f>IF(AQ219="7",BH219,0)</f>
        <v>0</v>
      </c>
      <c r="AE219" s="33">
        <f>IF(AQ219="7",BI219,0)</f>
        <v>0</v>
      </c>
      <c r="AF219" s="33">
        <f>IF(AQ219="2",BH219,0)</f>
        <v>0</v>
      </c>
      <c r="AG219" s="33">
        <f>IF(AQ219="2",BI219,0)</f>
        <v>0</v>
      </c>
      <c r="AH219" s="33">
        <f>IF(AQ219="0",BJ219,0)</f>
        <v>0</v>
      </c>
      <c r="AI219" s="21" t="s">
        <v>421</v>
      </c>
      <c r="AJ219" s="33">
        <f>IF(AN219=0,J219,0)</f>
        <v>0</v>
      </c>
      <c r="AK219" s="33">
        <f>IF(AN219=15,J219,0)</f>
        <v>0</v>
      </c>
      <c r="AL219" s="33">
        <f>IF(AN219=21,J219,0)</f>
        <v>0</v>
      </c>
      <c r="AN219" s="33">
        <v>21</v>
      </c>
      <c r="AO219" s="33">
        <f>G219*0</f>
        <v>0</v>
      </c>
      <c r="AP219" s="33">
        <f>G219*(1-0)</f>
        <v>0</v>
      </c>
      <c r="AQ219" s="51" t="s">
        <v>578</v>
      </c>
      <c r="AV219" s="33">
        <f>AW219+AX219</f>
        <v>0</v>
      </c>
      <c r="AW219" s="33">
        <f>F219*AO219</f>
        <v>0</v>
      </c>
      <c r="AX219" s="33">
        <f>F219*AP219</f>
        <v>0</v>
      </c>
      <c r="AY219" s="51" t="s">
        <v>37</v>
      </c>
      <c r="AZ219" s="51" t="s">
        <v>502</v>
      </c>
      <c r="BA219" s="21" t="s">
        <v>457</v>
      </c>
      <c r="BC219" s="33">
        <f>AW219+AX219</f>
        <v>0</v>
      </c>
      <c r="BD219" s="33">
        <f>G219/(100-BE219)*100</f>
        <v>0</v>
      </c>
      <c r="BE219" s="33">
        <v>0</v>
      </c>
      <c r="BF219" s="33">
        <f>219</f>
        <v>219</v>
      </c>
      <c r="BH219" s="33">
        <f>F219*AO219</f>
        <v>0</v>
      </c>
      <c r="BI219" s="33">
        <f>F219*AP219</f>
        <v>0</v>
      </c>
      <c r="BJ219" s="33">
        <f>F219*G219</f>
        <v>0</v>
      </c>
      <c r="BK219" s="33"/>
      <c r="BL219" s="33">
        <v>87</v>
      </c>
      <c r="BW219" s="33">
        <v>21</v>
      </c>
    </row>
    <row r="220" spans="1:75" ht="15" customHeight="1">
      <c r="A220" s="45"/>
      <c r="C220" s="13" t="s">
        <v>348</v>
      </c>
      <c r="D220" s="13" t="s">
        <v>421</v>
      </c>
      <c r="F220" s="49">
        <v>137.9</v>
      </c>
      <c r="K220" s="7"/>
    </row>
    <row r="221" spans="1:75" ht="13.5" customHeight="1">
      <c r="A221" s="2" t="s">
        <v>593</v>
      </c>
      <c r="B221" s="5" t="s">
        <v>611</v>
      </c>
      <c r="C221" s="66" t="s">
        <v>638</v>
      </c>
      <c r="D221" s="63"/>
      <c r="E221" s="5" t="s">
        <v>492</v>
      </c>
      <c r="F221" s="33">
        <v>144.79499999999999</v>
      </c>
      <c r="G221" s="33">
        <v>0</v>
      </c>
      <c r="H221" s="33">
        <f>F221*AO221</f>
        <v>0</v>
      </c>
      <c r="I221" s="33">
        <f>F221*AP221</f>
        <v>0</v>
      </c>
      <c r="J221" s="33">
        <f>F221*G221</f>
        <v>0</v>
      </c>
      <c r="K221" s="6" t="s">
        <v>416</v>
      </c>
      <c r="Z221" s="33">
        <f>IF(AQ221="5",BJ221,0)</f>
        <v>0</v>
      </c>
      <c r="AB221" s="33">
        <f>IF(AQ221="1",BH221,0)</f>
        <v>0</v>
      </c>
      <c r="AC221" s="33">
        <f>IF(AQ221="1",BI221,0)</f>
        <v>0</v>
      </c>
      <c r="AD221" s="33">
        <f>IF(AQ221="7",BH221,0)</f>
        <v>0</v>
      </c>
      <c r="AE221" s="33">
        <f>IF(AQ221="7",BI221,0)</f>
        <v>0</v>
      </c>
      <c r="AF221" s="33">
        <f>IF(AQ221="2",BH221,0)</f>
        <v>0</v>
      </c>
      <c r="AG221" s="33">
        <f>IF(AQ221="2",BI221,0)</f>
        <v>0</v>
      </c>
      <c r="AH221" s="33">
        <f>IF(AQ221="0",BJ221,0)</f>
        <v>0</v>
      </c>
      <c r="AI221" s="21" t="s">
        <v>421</v>
      </c>
      <c r="AJ221" s="33">
        <f>IF(AN221=0,J221,0)</f>
        <v>0</v>
      </c>
      <c r="AK221" s="33">
        <f>IF(AN221=15,J221,0)</f>
        <v>0</v>
      </c>
      <c r="AL221" s="33">
        <f>IF(AN221=21,J221,0)</f>
        <v>0</v>
      </c>
      <c r="AN221" s="33">
        <v>21</v>
      </c>
      <c r="AO221" s="33">
        <f>G221*1</f>
        <v>0</v>
      </c>
      <c r="AP221" s="33">
        <f>G221*(1-1)</f>
        <v>0</v>
      </c>
      <c r="AQ221" s="51" t="s">
        <v>578</v>
      </c>
      <c r="AV221" s="33">
        <f>AW221+AX221</f>
        <v>0</v>
      </c>
      <c r="AW221" s="33">
        <f>F221*AO221</f>
        <v>0</v>
      </c>
      <c r="AX221" s="33">
        <f>F221*AP221</f>
        <v>0</v>
      </c>
      <c r="AY221" s="51" t="s">
        <v>37</v>
      </c>
      <c r="AZ221" s="51" t="s">
        <v>502</v>
      </c>
      <c r="BA221" s="21" t="s">
        <v>457</v>
      </c>
      <c r="BC221" s="33">
        <f>AW221+AX221</f>
        <v>0</v>
      </c>
      <c r="BD221" s="33">
        <f>G221/(100-BE221)*100</f>
        <v>0</v>
      </c>
      <c r="BE221" s="33">
        <v>0</v>
      </c>
      <c r="BF221" s="33">
        <f>221</f>
        <v>221</v>
      </c>
      <c r="BH221" s="33">
        <f>F221*AO221</f>
        <v>0</v>
      </c>
      <c r="BI221" s="33">
        <f>F221*AP221</f>
        <v>0</v>
      </c>
      <c r="BJ221" s="33">
        <f>F221*G221</f>
        <v>0</v>
      </c>
      <c r="BK221" s="33"/>
      <c r="BL221" s="33">
        <v>87</v>
      </c>
      <c r="BW221" s="33">
        <v>21</v>
      </c>
    </row>
    <row r="222" spans="1:75" ht="15" customHeight="1">
      <c r="A222" s="45"/>
      <c r="C222" s="13" t="s">
        <v>624</v>
      </c>
      <c r="D222" s="13" t="s">
        <v>421</v>
      </c>
      <c r="F222" s="49">
        <v>144.79500000000002</v>
      </c>
      <c r="K222" s="7"/>
    </row>
    <row r="223" spans="1:75" ht="13.5" customHeight="1">
      <c r="A223" s="2" t="s">
        <v>357</v>
      </c>
      <c r="B223" s="5" t="s">
        <v>6</v>
      </c>
      <c r="C223" s="66" t="s">
        <v>312</v>
      </c>
      <c r="D223" s="63"/>
      <c r="E223" s="5" t="s">
        <v>492</v>
      </c>
      <c r="F223" s="33">
        <v>137.9</v>
      </c>
      <c r="G223" s="33">
        <v>0</v>
      </c>
      <c r="H223" s="33">
        <f>F223*AO223</f>
        <v>0</v>
      </c>
      <c r="I223" s="33">
        <f>F223*AP223</f>
        <v>0</v>
      </c>
      <c r="J223" s="33">
        <f>F223*G223</f>
        <v>0</v>
      </c>
      <c r="K223" s="6" t="s">
        <v>416</v>
      </c>
      <c r="Z223" s="33">
        <f>IF(AQ223="5",BJ223,0)</f>
        <v>0</v>
      </c>
      <c r="AB223" s="33">
        <f>IF(AQ223="1",BH223,0)</f>
        <v>0</v>
      </c>
      <c r="AC223" s="33">
        <f>IF(AQ223="1",BI223,0)</f>
        <v>0</v>
      </c>
      <c r="AD223" s="33">
        <f>IF(AQ223="7",BH223,0)</f>
        <v>0</v>
      </c>
      <c r="AE223" s="33">
        <f>IF(AQ223="7",BI223,0)</f>
        <v>0</v>
      </c>
      <c r="AF223" s="33">
        <f>IF(AQ223="2",BH223,0)</f>
        <v>0</v>
      </c>
      <c r="AG223" s="33">
        <f>IF(AQ223="2",BI223,0)</f>
        <v>0</v>
      </c>
      <c r="AH223" s="33">
        <f>IF(AQ223="0",BJ223,0)</f>
        <v>0</v>
      </c>
      <c r="AI223" s="21" t="s">
        <v>421</v>
      </c>
      <c r="AJ223" s="33">
        <f>IF(AN223=0,J223,0)</f>
        <v>0</v>
      </c>
      <c r="AK223" s="33">
        <f>IF(AN223=15,J223,0)</f>
        <v>0</v>
      </c>
      <c r="AL223" s="33">
        <f>IF(AN223=21,J223,0)</f>
        <v>0</v>
      </c>
      <c r="AN223" s="33">
        <v>21</v>
      </c>
      <c r="AO223" s="33">
        <f>G223*0</f>
        <v>0</v>
      </c>
      <c r="AP223" s="33">
        <f>G223*(1-0)</f>
        <v>0</v>
      </c>
      <c r="AQ223" s="51" t="s">
        <v>578</v>
      </c>
      <c r="AV223" s="33">
        <f>AW223+AX223</f>
        <v>0</v>
      </c>
      <c r="AW223" s="33">
        <f>F223*AO223</f>
        <v>0</v>
      </c>
      <c r="AX223" s="33">
        <f>F223*AP223</f>
        <v>0</v>
      </c>
      <c r="AY223" s="51" t="s">
        <v>37</v>
      </c>
      <c r="AZ223" s="51" t="s">
        <v>502</v>
      </c>
      <c r="BA223" s="21" t="s">
        <v>457</v>
      </c>
      <c r="BC223" s="33">
        <f>AW223+AX223</f>
        <v>0</v>
      </c>
      <c r="BD223" s="33">
        <f>G223/(100-BE223)*100</f>
        <v>0</v>
      </c>
      <c r="BE223" s="33">
        <v>0</v>
      </c>
      <c r="BF223" s="33">
        <f>223</f>
        <v>223</v>
      </c>
      <c r="BH223" s="33">
        <f>F223*AO223</f>
        <v>0</v>
      </c>
      <c r="BI223" s="33">
        <f>F223*AP223</f>
        <v>0</v>
      </c>
      <c r="BJ223" s="33">
        <f>F223*G223</f>
        <v>0</v>
      </c>
      <c r="BK223" s="33"/>
      <c r="BL223" s="33">
        <v>87</v>
      </c>
      <c r="BW223" s="33">
        <v>21</v>
      </c>
    </row>
    <row r="224" spans="1:75" ht="15" customHeight="1">
      <c r="A224" s="45"/>
      <c r="C224" s="13" t="s">
        <v>309</v>
      </c>
      <c r="D224" s="13" t="s">
        <v>421</v>
      </c>
      <c r="F224" s="49">
        <v>137.9</v>
      </c>
      <c r="K224" s="7"/>
    </row>
    <row r="225" spans="1:75" ht="13.5" customHeight="1">
      <c r="A225" s="2" t="s">
        <v>299</v>
      </c>
      <c r="B225" s="5" t="s">
        <v>170</v>
      </c>
      <c r="C225" s="66" t="s">
        <v>132</v>
      </c>
      <c r="D225" s="63"/>
      <c r="E225" s="5" t="s">
        <v>492</v>
      </c>
      <c r="F225" s="33">
        <v>144.79499999999999</v>
      </c>
      <c r="G225" s="33">
        <v>0</v>
      </c>
      <c r="H225" s="33">
        <f>F225*AO225</f>
        <v>0</v>
      </c>
      <c r="I225" s="33">
        <f>F225*AP225</f>
        <v>0</v>
      </c>
      <c r="J225" s="33">
        <f>F225*G225</f>
        <v>0</v>
      </c>
      <c r="K225" s="6" t="s">
        <v>416</v>
      </c>
      <c r="Z225" s="33">
        <f>IF(AQ225="5",BJ225,0)</f>
        <v>0</v>
      </c>
      <c r="AB225" s="33">
        <f>IF(AQ225="1",BH225,0)</f>
        <v>0</v>
      </c>
      <c r="AC225" s="33">
        <f>IF(AQ225="1",BI225,0)</f>
        <v>0</v>
      </c>
      <c r="AD225" s="33">
        <f>IF(AQ225="7",BH225,0)</f>
        <v>0</v>
      </c>
      <c r="AE225" s="33">
        <f>IF(AQ225="7",BI225,0)</f>
        <v>0</v>
      </c>
      <c r="AF225" s="33">
        <f>IF(AQ225="2",BH225,0)</f>
        <v>0</v>
      </c>
      <c r="AG225" s="33">
        <f>IF(AQ225="2",BI225,0)</f>
        <v>0</v>
      </c>
      <c r="AH225" s="33">
        <f>IF(AQ225="0",BJ225,0)</f>
        <v>0</v>
      </c>
      <c r="AI225" s="21" t="s">
        <v>421</v>
      </c>
      <c r="AJ225" s="33">
        <f>IF(AN225=0,J225,0)</f>
        <v>0</v>
      </c>
      <c r="AK225" s="33">
        <f>IF(AN225=15,J225,0)</f>
        <v>0</v>
      </c>
      <c r="AL225" s="33">
        <f>IF(AN225=21,J225,0)</f>
        <v>0</v>
      </c>
      <c r="AN225" s="33">
        <v>21</v>
      </c>
      <c r="AO225" s="33">
        <f>G225*1</f>
        <v>0</v>
      </c>
      <c r="AP225" s="33">
        <f>G225*(1-1)</f>
        <v>0</v>
      </c>
      <c r="AQ225" s="51" t="s">
        <v>578</v>
      </c>
      <c r="AV225" s="33">
        <f>AW225+AX225</f>
        <v>0</v>
      </c>
      <c r="AW225" s="33">
        <f>F225*AO225</f>
        <v>0</v>
      </c>
      <c r="AX225" s="33">
        <f>F225*AP225</f>
        <v>0</v>
      </c>
      <c r="AY225" s="51" t="s">
        <v>37</v>
      </c>
      <c r="AZ225" s="51" t="s">
        <v>502</v>
      </c>
      <c r="BA225" s="21" t="s">
        <v>457</v>
      </c>
      <c r="BC225" s="33">
        <f>AW225+AX225</f>
        <v>0</v>
      </c>
      <c r="BD225" s="33">
        <f>G225/(100-BE225)*100</f>
        <v>0</v>
      </c>
      <c r="BE225" s="33">
        <v>0</v>
      </c>
      <c r="BF225" s="33">
        <f>225</f>
        <v>225</v>
      </c>
      <c r="BH225" s="33">
        <f>F225*AO225</f>
        <v>0</v>
      </c>
      <c r="BI225" s="33">
        <f>F225*AP225</f>
        <v>0</v>
      </c>
      <c r="BJ225" s="33">
        <f>F225*G225</f>
        <v>0</v>
      </c>
      <c r="BK225" s="33"/>
      <c r="BL225" s="33">
        <v>87</v>
      </c>
      <c r="BW225" s="33">
        <v>21</v>
      </c>
    </row>
    <row r="226" spans="1:75" ht="15" customHeight="1">
      <c r="A226" s="45"/>
      <c r="C226" s="13" t="s">
        <v>624</v>
      </c>
      <c r="D226" s="13" t="s">
        <v>421</v>
      </c>
      <c r="F226" s="49">
        <v>144.79500000000002</v>
      </c>
      <c r="K226" s="7"/>
    </row>
    <row r="227" spans="1:75" ht="13.5" customHeight="1">
      <c r="A227" s="2" t="s">
        <v>396</v>
      </c>
      <c r="B227" s="5" t="s">
        <v>242</v>
      </c>
      <c r="C227" s="66" t="s">
        <v>148</v>
      </c>
      <c r="D227" s="63"/>
      <c r="E227" s="5" t="s">
        <v>492</v>
      </c>
      <c r="F227" s="33">
        <v>144.79499999999999</v>
      </c>
      <c r="G227" s="33">
        <v>0</v>
      </c>
      <c r="H227" s="33">
        <f>F227*AO227</f>
        <v>0</v>
      </c>
      <c r="I227" s="33">
        <f>F227*AP227</f>
        <v>0</v>
      </c>
      <c r="J227" s="33">
        <f>F227*G227</f>
        <v>0</v>
      </c>
      <c r="K227" s="6" t="s">
        <v>421</v>
      </c>
      <c r="Z227" s="33">
        <f>IF(AQ227="5",BJ227,0)</f>
        <v>0</v>
      </c>
      <c r="AB227" s="33">
        <f>IF(AQ227="1",BH227,0)</f>
        <v>0</v>
      </c>
      <c r="AC227" s="33">
        <f>IF(AQ227="1",BI227,0)</f>
        <v>0</v>
      </c>
      <c r="AD227" s="33">
        <f>IF(AQ227="7",BH227,0)</f>
        <v>0</v>
      </c>
      <c r="AE227" s="33">
        <f>IF(AQ227="7",BI227,0)</f>
        <v>0</v>
      </c>
      <c r="AF227" s="33">
        <f>IF(AQ227="2",BH227,0)</f>
        <v>0</v>
      </c>
      <c r="AG227" s="33">
        <f>IF(AQ227="2",BI227,0)</f>
        <v>0</v>
      </c>
      <c r="AH227" s="33">
        <f>IF(AQ227="0",BJ227,0)</f>
        <v>0</v>
      </c>
      <c r="AI227" s="21" t="s">
        <v>421</v>
      </c>
      <c r="AJ227" s="33">
        <f>IF(AN227=0,J227,0)</f>
        <v>0</v>
      </c>
      <c r="AK227" s="33">
        <f>IF(AN227=15,J227,0)</f>
        <v>0</v>
      </c>
      <c r="AL227" s="33">
        <f>IF(AN227=21,J227,0)</f>
        <v>0</v>
      </c>
      <c r="AN227" s="33">
        <v>21</v>
      </c>
      <c r="AO227" s="33">
        <f>G227*1</f>
        <v>0</v>
      </c>
      <c r="AP227" s="33">
        <f>G227*(1-1)</f>
        <v>0</v>
      </c>
      <c r="AQ227" s="51" t="s">
        <v>578</v>
      </c>
      <c r="AV227" s="33">
        <f>AW227+AX227</f>
        <v>0</v>
      </c>
      <c r="AW227" s="33">
        <f>F227*AO227</f>
        <v>0</v>
      </c>
      <c r="AX227" s="33">
        <f>F227*AP227</f>
        <v>0</v>
      </c>
      <c r="AY227" s="51" t="s">
        <v>37</v>
      </c>
      <c r="AZ227" s="51" t="s">
        <v>502</v>
      </c>
      <c r="BA227" s="21" t="s">
        <v>457</v>
      </c>
      <c r="BC227" s="33">
        <f>AW227+AX227</f>
        <v>0</v>
      </c>
      <c r="BD227" s="33">
        <f>G227/(100-BE227)*100</f>
        <v>0</v>
      </c>
      <c r="BE227" s="33">
        <v>0</v>
      </c>
      <c r="BF227" s="33">
        <f>227</f>
        <v>227</v>
      </c>
      <c r="BH227" s="33">
        <f>F227*AO227</f>
        <v>0</v>
      </c>
      <c r="BI227" s="33">
        <f>F227*AP227</f>
        <v>0</v>
      </c>
      <c r="BJ227" s="33">
        <f>F227*G227</f>
        <v>0</v>
      </c>
      <c r="BK227" s="33"/>
      <c r="BL227" s="33">
        <v>87</v>
      </c>
      <c r="BW227" s="33">
        <v>21</v>
      </c>
    </row>
    <row r="228" spans="1:75" ht="15" customHeight="1">
      <c r="A228" s="45"/>
      <c r="C228" s="13" t="s">
        <v>129</v>
      </c>
      <c r="D228" s="13" t="s">
        <v>421</v>
      </c>
      <c r="F228" s="49">
        <v>144.79500000000002</v>
      </c>
      <c r="K228" s="7"/>
    </row>
    <row r="229" spans="1:75" ht="13.5" customHeight="1">
      <c r="A229" s="2" t="s">
        <v>24</v>
      </c>
      <c r="B229" s="5" t="s">
        <v>88</v>
      </c>
      <c r="C229" s="66" t="s">
        <v>344</v>
      </c>
      <c r="D229" s="63"/>
      <c r="E229" s="5" t="s">
        <v>492</v>
      </c>
      <c r="F229" s="33">
        <v>289.58999999999997</v>
      </c>
      <c r="G229" s="33">
        <v>0</v>
      </c>
      <c r="H229" s="33">
        <f>F229*AO229</f>
        <v>0</v>
      </c>
      <c r="I229" s="33">
        <f>F229*AP229</f>
        <v>0</v>
      </c>
      <c r="J229" s="33">
        <f>F229*G229</f>
        <v>0</v>
      </c>
      <c r="K229" s="6" t="s">
        <v>416</v>
      </c>
      <c r="Z229" s="33">
        <f>IF(AQ229="5",BJ229,0)</f>
        <v>0</v>
      </c>
      <c r="AB229" s="33">
        <f>IF(AQ229="1",BH229,0)</f>
        <v>0</v>
      </c>
      <c r="AC229" s="33">
        <f>IF(AQ229="1",BI229,0)</f>
        <v>0</v>
      </c>
      <c r="AD229" s="33">
        <f>IF(AQ229="7",BH229,0)</f>
        <v>0</v>
      </c>
      <c r="AE229" s="33">
        <f>IF(AQ229="7",BI229,0)</f>
        <v>0</v>
      </c>
      <c r="AF229" s="33">
        <f>IF(AQ229="2",BH229,0)</f>
        <v>0</v>
      </c>
      <c r="AG229" s="33">
        <f>IF(AQ229="2",BI229,0)</f>
        <v>0</v>
      </c>
      <c r="AH229" s="33">
        <f>IF(AQ229="0",BJ229,0)</f>
        <v>0</v>
      </c>
      <c r="AI229" s="21" t="s">
        <v>421</v>
      </c>
      <c r="AJ229" s="33">
        <f>IF(AN229=0,J229,0)</f>
        <v>0</v>
      </c>
      <c r="AK229" s="33">
        <f>IF(AN229=15,J229,0)</f>
        <v>0</v>
      </c>
      <c r="AL229" s="33">
        <f>IF(AN229=21,J229,0)</f>
        <v>0</v>
      </c>
      <c r="AN229" s="33">
        <v>21</v>
      </c>
      <c r="AO229" s="33">
        <f>G229*0.322423905036164</f>
        <v>0</v>
      </c>
      <c r="AP229" s="33">
        <f>G229*(1-0.322423905036164)</f>
        <v>0</v>
      </c>
      <c r="AQ229" s="51" t="s">
        <v>578</v>
      </c>
      <c r="AV229" s="33">
        <f>AW229+AX229</f>
        <v>0</v>
      </c>
      <c r="AW229" s="33">
        <f>F229*AO229</f>
        <v>0</v>
      </c>
      <c r="AX229" s="33">
        <f>F229*AP229</f>
        <v>0</v>
      </c>
      <c r="AY229" s="51" t="s">
        <v>37</v>
      </c>
      <c r="AZ229" s="51" t="s">
        <v>502</v>
      </c>
      <c r="BA229" s="21" t="s">
        <v>457</v>
      </c>
      <c r="BC229" s="33">
        <f>AW229+AX229</f>
        <v>0</v>
      </c>
      <c r="BD229" s="33">
        <f>G229/(100-BE229)*100</f>
        <v>0</v>
      </c>
      <c r="BE229" s="33">
        <v>0</v>
      </c>
      <c r="BF229" s="33">
        <f>229</f>
        <v>229</v>
      </c>
      <c r="BH229" s="33">
        <f>F229*AO229</f>
        <v>0</v>
      </c>
      <c r="BI229" s="33">
        <f>F229*AP229</f>
        <v>0</v>
      </c>
      <c r="BJ229" s="33">
        <f>F229*G229</f>
        <v>0</v>
      </c>
      <c r="BK229" s="33"/>
      <c r="BL229" s="33">
        <v>87</v>
      </c>
      <c r="BW229" s="33">
        <v>21</v>
      </c>
    </row>
    <row r="230" spans="1:75" ht="15" customHeight="1">
      <c r="A230" s="45"/>
      <c r="C230" s="13" t="s">
        <v>397</v>
      </c>
      <c r="D230" s="13" t="s">
        <v>421</v>
      </c>
      <c r="F230" s="49">
        <v>275.8</v>
      </c>
      <c r="K230" s="7"/>
    </row>
    <row r="231" spans="1:75" ht="15" customHeight="1">
      <c r="A231" s="45"/>
      <c r="C231" s="13" t="s">
        <v>83</v>
      </c>
      <c r="D231" s="13" t="s">
        <v>421</v>
      </c>
      <c r="F231" s="49">
        <v>13.790000000000001</v>
      </c>
      <c r="K231" s="7"/>
    </row>
    <row r="232" spans="1:75" ht="13.5" customHeight="1">
      <c r="A232" s="2" t="s">
        <v>629</v>
      </c>
      <c r="B232" s="5" t="s">
        <v>441</v>
      </c>
      <c r="C232" s="66" t="s">
        <v>104</v>
      </c>
      <c r="D232" s="63"/>
      <c r="E232" s="5" t="s">
        <v>492</v>
      </c>
      <c r="F232" s="33">
        <v>139.69999999999999</v>
      </c>
      <c r="G232" s="33">
        <v>0</v>
      </c>
      <c r="H232" s="33">
        <f>F232*AO232</f>
        <v>0</v>
      </c>
      <c r="I232" s="33">
        <f>F232*AP232</f>
        <v>0</v>
      </c>
      <c r="J232" s="33">
        <f>F232*G232</f>
        <v>0</v>
      </c>
      <c r="K232" s="6" t="s">
        <v>416</v>
      </c>
      <c r="Z232" s="33">
        <f>IF(AQ232="5",BJ232,0)</f>
        <v>0</v>
      </c>
      <c r="AB232" s="33">
        <f>IF(AQ232="1",BH232,0)</f>
        <v>0</v>
      </c>
      <c r="AC232" s="33">
        <f>IF(AQ232="1",BI232,0)</f>
        <v>0</v>
      </c>
      <c r="AD232" s="33">
        <f>IF(AQ232="7",BH232,0)</f>
        <v>0</v>
      </c>
      <c r="AE232" s="33">
        <f>IF(AQ232="7",BI232,0)</f>
        <v>0</v>
      </c>
      <c r="AF232" s="33">
        <f>IF(AQ232="2",BH232,0)</f>
        <v>0</v>
      </c>
      <c r="AG232" s="33">
        <f>IF(AQ232="2",BI232,0)</f>
        <v>0</v>
      </c>
      <c r="AH232" s="33">
        <f>IF(AQ232="0",BJ232,0)</f>
        <v>0</v>
      </c>
      <c r="AI232" s="21" t="s">
        <v>421</v>
      </c>
      <c r="AJ232" s="33">
        <f>IF(AN232=0,J232,0)</f>
        <v>0</v>
      </c>
      <c r="AK232" s="33">
        <f>IF(AN232=15,J232,0)</f>
        <v>0</v>
      </c>
      <c r="AL232" s="33">
        <f>IF(AN232=21,J232,0)</f>
        <v>0</v>
      </c>
      <c r="AN232" s="33">
        <v>21</v>
      </c>
      <c r="AO232" s="33">
        <f>G232*0</f>
        <v>0</v>
      </c>
      <c r="AP232" s="33">
        <f>G232*(1-0)</f>
        <v>0</v>
      </c>
      <c r="AQ232" s="51" t="s">
        <v>578</v>
      </c>
      <c r="AV232" s="33">
        <f>AW232+AX232</f>
        <v>0</v>
      </c>
      <c r="AW232" s="33">
        <f>F232*AO232</f>
        <v>0</v>
      </c>
      <c r="AX232" s="33">
        <f>F232*AP232</f>
        <v>0</v>
      </c>
      <c r="AY232" s="51" t="s">
        <v>37</v>
      </c>
      <c r="AZ232" s="51" t="s">
        <v>502</v>
      </c>
      <c r="BA232" s="21" t="s">
        <v>457</v>
      </c>
      <c r="BC232" s="33">
        <f>AW232+AX232</f>
        <v>0</v>
      </c>
      <c r="BD232" s="33">
        <f>G232/(100-BE232)*100</f>
        <v>0</v>
      </c>
      <c r="BE232" s="33">
        <v>0</v>
      </c>
      <c r="BF232" s="33">
        <f>232</f>
        <v>232</v>
      </c>
      <c r="BH232" s="33">
        <f>F232*AO232</f>
        <v>0</v>
      </c>
      <c r="BI232" s="33">
        <f>F232*AP232</f>
        <v>0</v>
      </c>
      <c r="BJ232" s="33">
        <f>F232*G232</f>
        <v>0</v>
      </c>
      <c r="BK232" s="33"/>
      <c r="BL232" s="33">
        <v>87</v>
      </c>
      <c r="BW232" s="33">
        <v>21</v>
      </c>
    </row>
    <row r="233" spans="1:75" ht="15" customHeight="1">
      <c r="A233" s="45"/>
      <c r="C233" s="13" t="s">
        <v>608</v>
      </c>
      <c r="D233" s="13" t="s">
        <v>421</v>
      </c>
      <c r="F233" s="49">
        <v>139.70000000000002</v>
      </c>
      <c r="K233" s="7"/>
    </row>
    <row r="234" spans="1:75" ht="13.5" customHeight="1">
      <c r="A234" s="2" t="s">
        <v>619</v>
      </c>
      <c r="B234" s="5" t="s">
        <v>223</v>
      </c>
      <c r="C234" s="66" t="s">
        <v>214</v>
      </c>
      <c r="D234" s="63"/>
      <c r="E234" s="5" t="s">
        <v>449</v>
      </c>
      <c r="F234" s="33">
        <v>1</v>
      </c>
      <c r="G234" s="33">
        <v>0</v>
      </c>
      <c r="H234" s="33">
        <f>F234*AO234</f>
        <v>0</v>
      </c>
      <c r="I234" s="33">
        <f>F234*AP234</f>
        <v>0</v>
      </c>
      <c r="J234" s="33">
        <f>F234*G234</f>
        <v>0</v>
      </c>
      <c r="K234" s="6" t="s">
        <v>421</v>
      </c>
      <c r="Z234" s="33">
        <f>IF(AQ234="5",BJ234,0)</f>
        <v>0</v>
      </c>
      <c r="AB234" s="33">
        <f>IF(AQ234="1",BH234,0)</f>
        <v>0</v>
      </c>
      <c r="AC234" s="33">
        <f>IF(AQ234="1",BI234,0)</f>
        <v>0</v>
      </c>
      <c r="AD234" s="33">
        <f>IF(AQ234="7",BH234,0)</f>
        <v>0</v>
      </c>
      <c r="AE234" s="33">
        <f>IF(AQ234="7",BI234,0)</f>
        <v>0</v>
      </c>
      <c r="AF234" s="33">
        <f>IF(AQ234="2",BH234,0)</f>
        <v>0</v>
      </c>
      <c r="AG234" s="33">
        <f>IF(AQ234="2",BI234,0)</f>
        <v>0</v>
      </c>
      <c r="AH234" s="33">
        <f>IF(AQ234="0",BJ234,0)</f>
        <v>0</v>
      </c>
      <c r="AI234" s="21" t="s">
        <v>421</v>
      </c>
      <c r="AJ234" s="33">
        <f>IF(AN234=0,J234,0)</f>
        <v>0</v>
      </c>
      <c r="AK234" s="33">
        <f>IF(AN234=15,J234,0)</f>
        <v>0</v>
      </c>
      <c r="AL234" s="33">
        <f>IF(AN234=21,J234,0)</f>
        <v>0</v>
      </c>
      <c r="AN234" s="33">
        <v>21</v>
      </c>
      <c r="AO234" s="33">
        <f>G234*0.2</f>
        <v>0</v>
      </c>
      <c r="AP234" s="33">
        <f>G234*(1-0.2)</f>
        <v>0</v>
      </c>
      <c r="AQ234" s="51" t="s">
        <v>578</v>
      </c>
      <c r="AV234" s="33">
        <f>AW234+AX234</f>
        <v>0</v>
      </c>
      <c r="AW234" s="33">
        <f>F234*AO234</f>
        <v>0</v>
      </c>
      <c r="AX234" s="33">
        <f>F234*AP234</f>
        <v>0</v>
      </c>
      <c r="AY234" s="51" t="s">
        <v>37</v>
      </c>
      <c r="AZ234" s="51" t="s">
        <v>502</v>
      </c>
      <c r="BA234" s="21" t="s">
        <v>457</v>
      </c>
      <c r="BC234" s="33">
        <f>AW234+AX234</f>
        <v>0</v>
      </c>
      <c r="BD234" s="33">
        <f>G234/(100-BE234)*100</f>
        <v>0</v>
      </c>
      <c r="BE234" s="33">
        <v>0</v>
      </c>
      <c r="BF234" s="33">
        <f>234</f>
        <v>234</v>
      </c>
      <c r="BH234" s="33">
        <f>F234*AO234</f>
        <v>0</v>
      </c>
      <c r="BI234" s="33">
        <f>F234*AP234</f>
        <v>0</v>
      </c>
      <c r="BJ234" s="33">
        <f>F234*G234</f>
        <v>0</v>
      </c>
      <c r="BK234" s="33"/>
      <c r="BL234" s="33">
        <v>87</v>
      </c>
      <c r="BW234" s="33">
        <v>21</v>
      </c>
    </row>
    <row r="235" spans="1:75" ht="15" customHeight="1">
      <c r="A235" s="45"/>
      <c r="C235" s="13" t="s">
        <v>538</v>
      </c>
      <c r="D235" s="13" t="s">
        <v>421</v>
      </c>
      <c r="F235" s="49">
        <v>1</v>
      </c>
      <c r="K235" s="7"/>
    </row>
    <row r="236" spans="1:75" ht="15" customHeight="1">
      <c r="A236" s="54" t="s">
        <v>421</v>
      </c>
      <c r="B236" s="22" t="s">
        <v>629</v>
      </c>
      <c r="C236" s="79" t="s">
        <v>60</v>
      </c>
      <c r="D236" s="80"/>
      <c r="E236" s="3" t="s">
        <v>544</v>
      </c>
      <c r="F236" s="3" t="s">
        <v>544</v>
      </c>
      <c r="G236" s="3" t="s">
        <v>544</v>
      </c>
      <c r="H236" s="35">
        <f>SUM(H237:H239)</f>
        <v>0</v>
      </c>
      <c r="I236" s="35">
        <f>SUM(I237:I239)</f>
        <v>0</v>
      </c>
      <c r="J236" s="35">
        <f>SUM(J237:J239)</f>
        <v>0</v>
      </c>
      <c r="K236" s="16" t="s">
        <v>421</v>
      </c>
      <c r="AI236" s="21" t="s">
        <v>421</v>
      </c>
      <c r="AS236" s="35">
        <f>SUM(AJ237:AJ239)</f>
        <v>0</v>
      </c>
      <c r="AT236" s="35">
        <f>SUM(AK237:AK239)</f>
        <v>0</v>
      </c>
      <c r="AU236" s="35">
        <f>SUM(AL237:AL239)</f>
        <v>0</v>
      </c>
    </row>
    <row r="237" spans="1:75" ht="13.5" customHeight="1">
      <c r="A237" s="2" t="s">
        <v>618</v>
      </c>
      <c r="B237" s="5" t="s">
        <v>64</v>
      </c>
      <c r="C237" s="66" t="s">
        <v>97</v>
      </c>
      <c r="D237" s="63"/>
      <c r="E237" s="5" t="s">
        <v>492</v>
      </c>
      <c r="F237" s="33">
        <v>137.9</v>
      </c>
      <c r="G237" s="33">
        <v>0</v>
      </c>
      <c r="H237" s="33">
        <f>F237*AO237</f>
        <v>0</v>
      </c>
      <c r="I237" s="33">
        <f>F237*AP237</f>
        <v>0</v>
      </c>
      <c r="J237" s="33">
        <f>F237*G237</f>
        <v>0</v>
      </c>
      <c r="K237" s="6" t="s">
        <v>416</v>
      </c>
      <c r="Z237" s="33">
        <f>IF(AQ237="5",BJ237,0)</f>
        <v>0</v>
      </c>
      <c r="AB237" s="33">
        <f>IF(AQ237="1",BH237,0)</f>
        <v>0</v>
      </c>
      <c r="AC237" s="33">
        <f>IF(AQ237="1",BI237,0)</f>
        <v>0</v>
      </c>
      <c r="AD237" s="33">
        <f>IF(AQ237="7",BH237,0)</f>
        <v>0</v>
      </c>
      <c r="AE237" s="33">
        <f>IF(AQ237="7",BI237,0)</f>
        <v>0</v>
      </c>
      <c r="AF237" s="33">
        <f>IF(AQ237="2",BH237,0)</f>
        <v>0</v>
      </c>
      <c r="AG237" s="33">
        <f>IF(AQ237="2",BI237,0)</f>
        <v>0</v>
      </c>
      <c r="AH237" s="33">
        <f>IF(AQ237="0",BJ237,0)</f>
        <v>0</v>
      </c>
      <c r="AI237" s="21" t="s">
        <v>421</v>
      </c>
      <c r="AJ237" s="33">
        <f>IF(AN237=0,J237,0)</f>
        <v>0</v>
      </c>
      <c r="AK237" s="33">
        <f>IF(AN237=15,J237,0)</f>
        <v>0</v>
      </c>
      <c r="AL237" s="33">
        <f>IF(AN237=21,J237,0)</f>
        <v>0</v>
      </c>
      <c r="AN237" s="33">
        <v>21</v>
      </c>
      <c r="AO237" s="33">
        <f>G237*0</f>
        <v>0</v>
      </c>
      <c r="AP237" s="33">
        <f>G237*(1-0)</f>
        <v>0</v>
      </c>
      <c r="AQ237" s="51" t="s">
        <v>578</v>
      </c>
      <c r="AV237" s="33">
        <f>AW237+AX237</f>
        <v>0</v>
      </c>
      <c r="AW237" s="33">
        <f>F237*AO237</f>
        <v>0</v>
      </c>
      <c r="AX237" s="33">
        <f>F237*AP237</f>
        <v>0</v>
      </c>
      <c r="AY237" s="51" t="s">
        <v>336</v>
      </c>
      <c r="AZ237" s="51" t="s">
        <v>502</v>
      </c>
      <c r="BA237" s="21" t="s">
        <v>457</v>
      </c>
      <c r="BC237" s="33">
        <f>AW237+AX237</f>
        <v>0</v>
      </c>
      <c r="BD237" s="33">
        <f>G237/(100-BE237)*100</f>
        <v>0</v>
      </c>
      <c r="BE237" s="33">
        <v>0</v>
      </c>
      <c r="BF237" s="33">
        <f>237</f>
        <v>237</v>
      </c>
      <c r="BH237" s="33">
        <f>F237*AO237</f>
        <v>0</v>
      </c>
      <c r="BI237" s="33">
        <f>F237*AP237</f>
        <v>0</v>
      </c>
      <c r="BJ237" s="33">
        <f>F237*G237</f>
        <v>0</v>
      </c>
      <c r="BK237" s="33"/>
      <c r="BL237" s="33">
        <v>88</v>
      </c>
      <c r="BW237" s="33">
        <v>21</v>
      </c>
    </row>
    <row r="238" spans="1:75" ht="15" customHeight="1">
      <c r="A238" s="45"/>
      <c r="C238" s="13" t="s">
        <v>348</v>
      </c>
      <c r="D238" s="13" t="s">
        <v>421</v>
      </c>
      <c r="F238" s="49">
        <v>137.9</v>
      </c>
      <c r="K238" s="7"/>
    </row>
    <row r="239" spans="1:75" ht="13.5" customHeight="1">
      <c r="A239" s="2" t="s">
        <v>22</v>
      </c>
      <c r="B239" s="5" t="s">
        <v>451</v>
      </c>
      <c r="C239" s="66" t="s">
        <v>565</v>
      </c>
      <c r="D239" s="63"/>
      <c r="E239" s="5" t="s">
        <v>492</v>
      </c>
      <c r="F239" s="33">
        <v>144.79499999999999</v>
      </c>
      <c r="G239" s="33">
        <v>0</v>
      </c>
      <c r="H239" s="33">
        <f>F239*AO239</f>
        <v>0</v>
      </c>
      <c r="I239" s="33">
        <f>F239*AP239</f>
        <v>0</v>
      </c>
      <c r="J239" s="33">
        <f>F239*G239</f>
        <v>0</v>
      </c>
      <c r="K239" s="6" t="s">
        <v>416</v>
      </c>
      <c r="Z239" s="33">
        <f>IF(AQ239="5",BJ239,0)</f>
        <v>0</v>
      </c>
      <c r="AB239" s="33">
        <f>IF(AQ239="1",BH239,0)</f>
        <v>0</v>
      </c>
      <c r="AC239" s="33">
        <f>IF(AQ239="1",BI239,0)</f>
        <v>0</v>
      </c>
      <c r="AD239" s="33">
        <f>IF(AQ239="7",BH239,0)</f>
        <v>0</v>
      </c>
      <c r="AE239" s="33">
        <f>IF(AQ239="7",BI239,0)</f>
        <v>0</v>
      </c>
      <c r="AF239" s="33">
        <f>IF(AQ239="2",BH239,0)</f>
        <v>0</v>
      </c>
      <c r="AG239" s="33">
        <f>IF(AQ239="2",BI239,0)</f>
        <v>0</v>
      </c>
      <c r="AH239" s="33">
        <f>IF(AQ239="0",BJ239,0)</f>
        <v>0</v>
      </c>
      <c r="AI239" s="21" t="s">
        <v>421</v>
      </c>
      <c r="AJ239" s="33">
        <f>IF(AN239=0,J239,0)</f>
        <v>0</v>
      </c>
      <c r="AK239" s="33">
        <f>IF(AN239=15,J239,0)</f>
        <v>0</v>
      </c>
      <c r="AL239" s="33">
        <f>IF(AN239=21,J239,0)</f>
        <v>0</v>
      </c>
      <c r="AN239" s="33">
        <v>21</v>
      </c>
      <c r="AO239" s="33">
        <f>G239*1</f>
        <v>0</v>
      </c>
      <c r="AP239" s="33">
        <f>G239*(1-1)</f>
        <v>0</v>
      </c>
      <c r="AQ239" s="51" t="s">
        <v>578</v>
      </c>
      <c r="AV239" s="33">
        <f>AW239+AX239</f>
        <v>0</v>
      </c>
      <c r="AW239" s="33">
        <f>F239*AO239</f>
        <v>0</v>
      </c>
      <c r="AX239" s="33">
        <f>F239*AP239</f>
        <v>0</v>
      </c>
      <c r="AY239" s="51" t="s">
        <v>336</v>
      </c>
      <c r="AZ239" s="51" t="s">
        <v>502</v>
      </c>
      <c r="BA239" s="21" t="s">
        <v>457</v>
      </c>
      <c r="BC239" s="33">
        <f>AW239+AX239</f>
        <v>0</v>
      </c>
      <c r="BD239" s="33">
        <f>G239/(100-BE239)*100</f>
        <v>0</v>
      </c>
      <c r="BE239" s="33">
        <v>0</v>
      </c>
      <c r="BF239" s="33">
        <f>239</f>
        <v>239</v>
      </c>
      <c r="BH239" s="33">
        <f>F239*AO239</f>
        <v>0</v>
      </c>
      <c r="BI239" s="33">
        <f>F239*AP239</f>
        <v>0</v>
      </c>
      <c r="BJ239" s="33">
        <f>F239*G239</f>
        <v>0</v>
      </c>
      <c r="BK239" s="33"/>
      <c r="BL239" s="33">
        <v>88</v>
      </c>
      <c r="BW239" s="33">
        <v>21</v>
      </c>
    </row>
    <row r="240" spans="1:75" ht="15" customHeight="1">
      <c r="A240" s="45"/>
      <c r="C240" s="13" t="s">
        <v>624</v>
      </c>
      <c r="D240" s="13" t="s">
        <v>421</v>
      </c>
      <c r="F240" s="49">
        <v>144.79500000000002</v>
      </c>
      <c r="K240" s="7"/>
    </row>
    <row r="241" spans="1:75" ht="15" customHeight="1">
      <c r="A241" s="54" t="s">
        <v>421</v>
      </c>
      <c r="B241" s="22" t="s">
        <v>619</v>
      </c>
      <c r="C241" s="79" t="s">
        <v>393</v>
      </c>
      <c r="D241" s="80"/>
      <c r="E241" s="3" t="s">
        <v>544</v>
      </c>
      <c r="F241" s="3" t="s">
        <v>544</v>
      </c>
      <c r="G241" s="3" t="s">
        <v>544</v>
      </c>
      <c r="H241" s="35">
        <f>SUM(H242:H246)</f>
        <v>0</v>
      </c>
      <c r="I241" s="35">
        <f>SUM(I242:I246)</f>
        <v>0</v>
      </c>
      <c r="J241" s="35">
        <f>SUM(J242:J246)</f>
        <v>0</v>
      </c>
      <c r="K241" s="16" t="s">
        <v>421</v>
      </c>
      <c r="AI241" s="21" t="s">
        <v>421</v>
      </c>
      <c r="AS241" s="35">
        <f>SUM(AJ242:AJ246)</f>
        <v>0</v>
      </c>
      <c r="AT241" s="35">
        <f>SUM(AK242:AK246)</f>
        <v>0</v>
      </c>
      <c r="AU241" s="35">
        <f>SUM(AL242:AL246)</f>
        <v>0</v>
      </c>
    </row>
    <row r="242" spans="1:75" ht="13.5" customHeight="1">
      <c r="A242" s="2" t="s">
        <v>0</v>
      </c>
      <c r="B242" s="5" t="s">
        <v>89</v>
      </c>
      <c r="C242" s="66" t="s">
        <v>637</v>
      </c>
      <c r="D242" s="63"/>
      <c r="E242" s="5" t="s">
        <v>147</v>
      </c>
      <c r="F242" s="33">
        <v>1</v>
      </c>
      <c r="G242" s="33">
        <v>0</v>
      </c>
      <c r="H242" s="33">
        <f>F242*AO242</f>
        <v>0</v>
      </c>
      <c r="I242" s="33">
        <f>F242*AP242</f>
        <v>0</v>
      </c>
      <c r="J242" s="33">
        <f>F242*G242</f>
        <v>0</v>
      </c>
      <c r="K242" s="6" t="s">
        <v>416</v>
      </c>
      <c r="Z242" s="33">
        <f>IF(AQ242="5",BJ242,0)</f>
        <v>0</v>
      </c>
      <c r="AB242" s="33">
        <f>IF(AQ242="1",BH242,0)</f>
        <v>0</v>
      </c>
      <c r="AC242" s="33">
        <f>IF(AQ242="1",BI242,0)</f>
        <v>0</v>
      </c>
      <c r="AD242" s="33">
        <f>IF(AQ242="7",BH242,0)</f>
        <v>0</v>
      </c>
      <c r="AE242" s="33">
        <f>IF(AQ242="7",BI242,0)</f>
        <v>0</v>
      </c>
      <c r="AF242" s="33">
        <f>IF(AQ242="2",BH242,0)</f>
        <v>0</v>
      </c>
      <c r="AG242" s="33">
        <f>IF(AQ242="2",BI242,0)</f>
        <v>0</v>
      </c>
      <c r="AH242" s="33">
        <f>IF(AQ242="0",BJ242,0)</f>
        <v>0</v>
      </c>
      <c r="AI242" s="21" t="s">
        <v>421</v>
      </c>
      <c r="AJ242" s="33">
        <f>IF(AN242=0,J242,0)</f>
        <v>0</v>
      </c>
      <c r="AK242" s="33">
        <f>IF(AN242=15,J242,0)</f>
        <v>0</v>
      </c>
      <c r="AL242" s="33">
        <f>IF(AN242=21,J242,0)</f>
        <v>0</v>
      </c>
      <c r="AN242" s="33">
        <v>21</v>
      </c>
      <c r="AO242" s="33">
        <f>G242*0.689311562484577</f>
        <v>0</v>
      </c>
      <c r="AP242" s="33">
        <f>G242*(1-0.689311562484577)</f>
        <v>0</v>
      </c>
      <c r="AQ242" s="51" t="s">
        <v>578</v>
      </c>
      <c r="AV242" s="33">
        <f>AW242+AX242</f>
        <v>0</v>
      </c>
      <c r="AW242" s="33">
        <f>F242*AO242</f>
        <v>0</v>
      </c>
      <c r="AX242" s="33">
        <f>F242*AP242</f>
        <v>0</v>
      </c>
      <c r="AY242" s="51" t="s">
        <v>46</v>
      </c>
      <c r="AZ242" s="51" t="s">
        <v>502</v>
      </c>
      <c r="BA242" s="21" t="s">
        <v>457</v>
      </c>
      <c r="BC242" s="33">
        <f>AW242+AX242</f>
        <v>0</v>
      </c>
      <c r="BD242" s="33">
        <f>G242/(100-BE242)*100</f>
        <v>0</v>
      </c>
      <c r="BE242" s="33">
        <v>0</v>
      </c>
      <c r="BF242" s="33">
        <f>242</f>
        <v>242</v>
      </c>
      <c r="BH242" s="33">
        <f>F242*AO242</f>
        <v>0</v>
      </c>
      <c r="BI242" s="33">
        <f>F242*AP242</f>
        <v>0</v>
      </c>
      <c r="BJ242" s="33">
        <f>F242*G242</f>
        <v>0</v>
      </c>
      <c r="BK242" s="33"/>
      <c r="BL242" s="33">
        <v>89</v>
      </c>
      <c r="BW242" s="33">
        <v>21</v>
      </c>
    </row>
    <row r="243" spans="1:75" ht="15" customHeight="1">
      <c r="A243" s="45"/>
      <c r="C243" s="13" t="s">
        <v>521</v>
      </c>
      <c r="D243" s="13" t="s">
        <v>421</v>
      </c>
      <c r="F243" s="49">
        <v>1</v>
      </c>
      <c r="K243" s="7"/>
    </row>
    <row r="244" spans="1:75" ht="13.5" customHeight="1">
      <c r="A244" s="2" t="s">
        <v>535</v>
      </c>
      <c r="B244" s="5" t="s">
        <v>195</v>
      </c>
      <c r="C244" s="66" t="s">
        <v>358</v>
      </c>
      <c r="D244" s="63"/>
      <c r="E244" s="5" t="s">
        <v>147</v>
      </c>
      <c r="F244" s="33">
        <v>1</v>
      </c>
      <c r="G244" s="33">
        <v>0</v>
      </c>
      <c r="H244" s="33">
        <f>F244*AO244</f>
        <v>0</v>
      </c>
      <c r="I244" s="33">
        <f>F244*AP244</f>
        <v>0</v>
      </c>
      <c r="J244" s="33">
        <f>F244*G244</f>
        <v>0</v>
      </c>
      <c r="K244" s="6" t="s">
        <v>416</v>
      </c>
      <c r="Z244" s="33">
        <f>IF(AQ244="5",BJ244,0)</f>
        <v>0</v>
      </c>
      <c r="AB244" s="33">
        <f>IF(AQ244="1",BH244,0)</f>
        <v>0</v>
      </c>
      <c r="AC244" s="33">
        <f>IF(AQ244="1",BI244,0)</f>
        <v>0</v>
      </c>
      <c r="AD244" s="33">
        <f>IF(AQ244="7",BH244,0)</f>
        <v>0</v>
      </c>
      <c r="AE244" s="33">
        <f>IF(AQ244="7",BI244,0)</f>
        <v>0</v>
      </c>
      <c r="AF244" s="33">
        <f>IF(AQ244="2",BH244,0)</f>
        <v>0</v>
      </c>
      <c r="AG244" s="33">
        <f>IF(AQ244="2",BI244,0)</f>
        <v>0</v>
      </c>
      <c r="AH244" s="33">
        <f>IF(AQ244="0",BJ244,0)</f>
        <v>0</v>
      </c>
      <c r="AI244" s="21" t="s">
        <v>421</v>
      </c>
      <c r="AJ244" s="33">
        <f>IF(AN244=0,J244,0)</f>
        <v>0</v>
      </c>
      <c r="AK244" s="33">
        <f>IF(AN244=15,J244,0)</f>
        <v>0</v>
      </c>
      <c r="AL244" s="33">
        <f>IF(AN244=21,J244,0)</f>
        <v>0</v>
      </c>
      <c r="AN244" s="33">
        <v>21</v>
      </c>
      <c r="AO244" s="33">
        <f>G244*0.890897391304348</f>
        <v>0</v>
      </c>
      <c r="AP244" s="33">
        <f>G244*(1-0.890897391304348)</f>
        <v>0</v>
      </c>
      <c r="AQ244" s="51" t="s">
        <v>578</v>
      </c>
      <c r="AV244" s="33">
        <f>AW244+AX244</f>
        <v>0</v>
      </c>
      <c r="AW244" s="33">
        <f>F244*AO244</f>
        <v>0</v>
      </c>
      <c r="AX244" s="33">
        <f>F244*AP244</f>
        <v>0</v>
      </c>
      <c r="AY244" s="51" t="s">
        <v>46</v>
      </c>
      <c r="AZ244" s="51" t="s">
        <v>502</v>
      </c>
      <c r="BA244" s="21" t="s">
        <v>457</v>
      </c>
      <c r="BC244" s="33">
        <f>AW244+AX244</f>
        <v>0</v>
      </c>
      <c r="BD244" s="33">
        <f>G244/(100-BE244)*100</f>
        <v>0</v>
      </c>
      <c r="BE244" s="33">
        <v>0</v>
      </c>
      <c r="BF244" s="33">
        <f>244</f>
        <v>244</v>
      </c>
      <c r="BH244" s="33">
        <f>F244*AO244</f>
        <v>0</v>
      </c>
      <c r="BI244" s="33">
        <f>F244*AP244</f>
        <v>0</v>
      </c>
      <c r="BJ244" s="33">
        <f>F244*G244</f>
        <v>0</v>
      </c>
      <c r="BK244" s="33"/>
      <c r="BL244" s="33">
        <v>89</v>
      </c>
      <c r="BW244" s="33">
        <v>21</v>
      </c>
    </row>
    <row r="245" spans="1:75" ht="15" customHeight="1">
      <c r="A245" s="45"/>
      <c r="C245" s="13" t="s">
        <v>251</v>
      </c>
      <c r="D245" s="13" t="s">
        <v>421</v>
      </c>
      <c r="F245" s="49">
        <v>1</v>
      </c>
      <c r="K245" s="7"/>
    </row>
    <row r="246" spans="1:75" ht="13.5" customHeight="1">
      <c r="A246" s="2" t="s">
        <v>68</v>
      </c>
      <c r="B246" s="5" t="s">
        <v>382</v>
      </c>
      <c r="C246" s="66" t="s">
        <v>566</v>
      </c>
      <c r="D246" s="63"/>
      <c r="E246" s="5" t="s">
        <v>492</v>
      </c>
      <c r="F246" s="33">
        <v>137.9</v>
      </c>
      <c r="G246" s="33">
        <v>0</v>
      </c>
      <c r="H246" s="33">
        <f>F246*AO246</f>
        <v>0</v>
      </c>
      <c r="I246" s="33">
        <f>F246*AP246</f>
        <v>0</v>
      </c>
      <c r="J246" s="33">
        <f>F246*G246</f>
        <v>0</v>
      </c>
      <c r="K246" s="6" t="s">
        <v>416</v>
      </c>
      <c r="Z246" s="33">
        <f>IF(AQ246="5",BJ246,0)</f>
        <v>0</v>
      </c>
      <c r="AB246" s="33">
        <f>IF(AQ246="1",BH246,0)</f>
        <v>0</v>
      </c>
      <c r="AC246" s="33">
        <f>IF(AQ246="1",BI246,0)</f>
        <v>0</v>
      </c>
      <c r="AD246" s="33">
        <f>IF(AQ246="7",BH246,0)</f>
        <v>0</v>
      </c>
      <c r="AE246" s="33">
        <f>IF(AQ246="7",BI246,0)</f>
        <v>0</v>
      </c>
      <c r="AF246" s="33">
        <f>IF(AQ246="2",BH246,0)</f>
        <v>0</v>
      </c>
      <c r="AG246" s="33">
        <f>IF(AQ246="2",BI246,0)</f>
        <v>0</v>
      </c>
      <c r="AH246" s="33">
        <f>IF(AQ246="0",BJ246,0)</f>
        <v>0</v>
      </c>
      <c r="AI246" s="21" t="s">
        <v>421</v>
      </c>
      <c r="AJ246" s="33">
        <f>IF(AN246=0,J246,0)</f>
        <v>0</v>
      </c>
      <c r="AK246" s="33">
        <f>IF(AN246=15,J246,0)</f>
        <v>0</v>
      </c>
      <c r="AL246" s="33">
        <f>IF(AN246=21,J246,0)</f>
        <v>0</v>
      </c>
      <c r="AN246" s="33">
        <v>21</v>
      </c>
      <c r="AO246" s="33">
        <f>G246*0.0295666348483736</f>
        <v>0</v>
      </c>
      <c r="AP246" s="33">
        <f>G246*(1-0.0295666348483736)</f>
        <v>0</v>
      </c>
      <c r="AQ246" s="51" t="s">
        <v>578</v>
      </c>
      <c r="AV246" s="33">
        <f>AW246+AX246</f>
        <v>0</v>
      </c>
      <c r="AW246" s="33">
        <f>F246*AO246</f>
        <v>0</v>
      </c>
      <c r="AX246" s="33">
        <f>F246*AP246</f>
        <v>0</v>
      </c>
      <c r="AY246" s="51" t="s">
        <v>46</v>
      </c>
      <c r="AZ246" s="51" t="s">
        <v>502</v>
      </c>
      <c r="BA246" s="21" t="s">
        <v>457</v>
      </c>
      <c r="BC246" s="33">
        <f>AW246+AX246</f>
        <v>0</v>
      </c>
      <c r="BD246" s="33">
        <f>G246/(100-BE246)*100</f>
        <v>0</v>
      </c>
      <c r="BE246" s="33">
        <v>0</v>
      </c>
      <c r="BF246" s="33">
        <f>246</f>
        <v>246</v>
      </c>
      <c r="BH246" s="33">
        <f>F246*AO246</f>
        <v>0</v>
      </c>
      <c r="BI246" s="33">
        <f>F246*AP246</f>
        <v>0</v>
      </c>
      <c r="BJ246" s="33">
        <f>F246*G246</f>
        <v>0</v>
      </c>
      <c r="BK246" s="33"/>
      <c r="BL246" s="33">
        <v>89</v>
      </c>
      <c r="BW246" s="33">
        <v>21</v>
      </c>
    </row>
    <row r="247" spans="1:75" ht="15" customHeight="1">
      <c r="A247" s="45"/>
      <c r="C247" s="13" t="s">
        <v>348</v>
      </c>
      <c r="D247" s="13" t="s">
        <v>421</v>
      </c>
      <c r="F247" s="49">
        <v>137.9</v>
      </c>
      <c r="K247" s="7"/>
    </row>
    <row r="248" spans="1:75" ht="15" customHeight="1">
      <c r="A248" s="54" t="s">
        <v>421</v>
      </c>
      <c r="B248" s="22" t="s">
        <v>95</v>
      </c>
      <c r="C248" s="79" t="s">
        <v>574</v>
      </c>
      <c r="D248" s="80"/>
      <c r="E248" s="3" t="s">
        <v>544</v>
      </c>
      <c r="F248" s="3" t="s">
        <v>544</v>
      </c>
      <c r="G248" s="3" t="s">
        <v>544</v>
      </c>
      <c r="H248" s="35">
        <f>SUM(H249:H249)</f>
        <v>0</v>
      </c>
      <c r="I248" s="35">
        <f>SUM(I249:I249)</f>
        <v>0</v>
      </c>
      <c r="J248" s="35">
        <f>SUM(J249:J249)</f>
        <v>0</v>
      </c>
      <c r="K248" s="16" t="s">
        <v>421</v>
      </c>
      <c r="AI248" s="21" t="s">
        <v>421</v>
      </c>
      <c r="AS248" s="35">
        <f>SUM(AJ249:AJ249)</f>
        <v>0</v>
      </c>
      <c r="AT248" s="35">
        <f>SUM(AK249:AK249)</f>
        <v>0</v>
      </c>
      <c r="AU248" s="35">
        <f>SUM(AL249:AL249)</f>
        <v>0</v>
      </c>
    </row>
    <row r="249" spans="1:75" ht="13.5" customHeight="1">
      <c r="A249" s="2" t="s">
        <v>243</v>
      </c>
      <c r="B249" s="5" t="s">
        <v>253</v>
      </c>
      <c r="C249" s="66" t="s">
        <v>137</v>
      </c>
      <c r="D249" s="63"/>
      <c r="E249" s="5" t="s">
        <v>449</v>
      </c>
      <c r="F249" s="33">
        <v>1</v>
      </c>
      <c r="G249" s="33">
        <v>0</v>
      </c>
      <c r="H249" s="33">
        <f>F249*AO249</f>
        <v>0</v>
      </c>
      <c r="I249" s="33">
        <f>F249*AP249</f>
        <v>0</v>
      </c>
      <c r="J249" s="33">
        <f>F249*G249</f>
        <v>0</v>
      </c>
      <c r="K249" s="6" t="s">
        <v>421</v>
      </c>
      <c r="Z249" s="33">
        <f>IF(AQ249="5",BJ249,0)</f>
        <v>0</v>
      </c>
      <c r="AB249" s="33">
        <f>IF(AQ249="1",BH249,0)</f>
        <v>0</v>
      </c>
      <c r="AC249" s="33">
        <f>IF(AQ249="1",BI249,0)</f>
        <v>0</v>
      </c>
      <c r="AD249" s="33">
        <f>IF(AQ249="7",BH249,0)</f>
        <v>0</v>
      </c>
      <c r="AE249" s="33">
        <f>IF(AQ249="7",BI249,0)</f>
        <v>0</v>
      </c>
      <c r="AF249" s="33">
        <f>IF(AQ249="2",BH249,0)</f>
        <v>0</v>
      </c>
      <c r="AG249" s="33">
        <f>IF(AQ249="2",BI249,0)</f>
        <v>0</v>
      </c>
      <c r="AH249" s="33">
        <f>IF(AQ249="0",BJ249,0)</f>
        <v>0</v>
      </c>
      <c r="AI249" s="21" t="s">
        <v>421</v>
      </c>
      <c r="AJ249" s="33">
        <f>IF(AN249=0,J249,0)</f>
        <v>0</v>
      </c>
      <c r="AK249" s="33">
        <f>IF(AN249=15,J249,0)</f>
        <v>0</v>
      </c>
      <c r="AL249" s="33">
        <f>IF(AN249=21,J249,0)</f>
        <v>0</v>
      </c>
      <c r="AN249" s="33">
        <v>21</v>
      </c>
      <c r="AO249" s="33">
        <f>G249*0</f>
        <v>0</v>
      </c>
      <c r="AP249" s="33">
        <f>G249*(1-0)</f>
        <v>0</v>
      </c>
      <c r="AQ249" s="51" t="s">
        <v>578</v>
      </c>
      <c r="AV249" s="33">
        <f>AW249+AX249</f>
        <v>0</v>
      </c>
      <c r="AW249" s="33">
        <f>F249*AO249</f>
        <v>0</v>
      </c>
      <c r="AX249" s="33">
        <f>F249*AP249</f>
        <v>0</v>
      </c>
      <c r="AY249" s="51" t="s">
        <v>330</v>
      </c>
      <c r="AZ249" s="51" t="s">
        <v>502</v>
      </c>
      <c r="BA249" s="21" t="s">
        <v>457</v>
      </c>
      <c r="BC249" s="33">
        <f>AW249+AX249</f>
        <v>0</v>
      </c>
      <c r="BD249" s="33">
        <f>G249/(100-BE249)*100</f>
        <v>0</v>
      </c>
      <c r="BE249" s="33">
        <v>0</v>
      </c>
      <c r="BF249" s="33">
        <f>249</f>
        <v>249</v>
      </c>
      <c r="BH249" s="33">
        <f>F249*AO249</f>
        <v>0</v>
      </c>
      <c r="BI249" s="33">
        <f>F249*AP249</f>
        <v>0</v>
      </c>
      <c r="BJ249" s="33">
        <f>F249*G249</f>
        <v>0</v>
      </c>
      <c r="BK249" s="33"/>
      <c r="BL249" s="33">
        <v>891</v>
      </c>
      <c r="BW249" s="33">
        <v>21</v>
      </c>
    </row>
    <row r="250" spans="1:75" ht="15" customHeight="1">
      <c r="A250" s="45"/>
      <c r="C250" s="13" t="s">
        <v>578</v>
      </c>
      <c r="D250" s="13" t="s">
        <v>421</v>
      </c>
      <c r="F250" s="49">
        <v>1</v>
      </c>
      <c r="K250" s="7"/>
    </row>
    <row r="251" spans="1:75" ht="15" customHeight="1">
      <c r="A251" s="54" t="s">
        <v>421</v>
      </c>
      <c r="B251" s="22" t="s">
        <v>505</v>
      </c>
      <c r="C251" s="79" t="s">
        <v>305</v>
      </c>
      <c r="D251" s="80"/>
      <c r="E251" s="3" t="s">
        <v>544</v>
      </c>
      <c r="F251" s="3" t="s">
        <v>544</v>
      </c>
      <c r="G251" s="3" t="s">
        <v>544</v>
      </c>
      <c r="H251" s="35">
        <f>SUM(H252:H252)</f>
        <v>0</v>
      </c>
      <c r="I251" s="35">
        <f>SUM(I252:I252)</f>
        <v>0</v>
      </c>
      <c r="J251" s="35">
        <f>SUM(J252:J252)</f>
        <v>0</v>
      </c>
      <c r="K251" s="16" t="s">
        <v>421</v>
      </c>
      <c r="AI251" s="21" t="s">
        <v>421</v>
      </c>
      <c r="AS251" s="35">
        <f>SUM(AJ252:AJ252)</f>
        <v>0</v>
      </c>
      <c r="AT251" s="35">
        <f>SUM(AK252:AK252)</f>
        <v>0</v>
      </c>
      <c r="AU251" s="35">
        <f>SUM(AL252:AL252)</f>
        <v>0</v>
      </c>
    </row>
    <row r="252" spans="1:75" ht="13.5" customHeight="1">
      <c r="A252" s="2" t="s">
        <v>338</v>
      </c>
      <c r="B252" s="5" t="s">
        <v>580</v>
      </c>
      <c r="C252" s="66" t="s">
        <v>4</v>
      </c>
      <c r="D252" s="63"/>
      <c r="E252" s="5" t="s">
        <v>147</v>
      </c>
      <c r="F252" s="33">
        <v>6</v>
      </c>
      <c r="G252" s="33">
        <v>0</v>
      </c>
      <c r="H252" s="33">
        <f>F252*AO252</f>
        <v>0</v>
      </c>
      <c r="I252" s="33">
        <f>F252*AP252</f>
        <v>0</v>
      </c>
      <c r="J252" s="33">
        <f>F252*G252</f>
        <v>0</v>
      </c>
      <c r="K252" s="6" t="s">
        <v>421</v>
      </c>
      <c r="Z252" s="33">
        <f>IF(AQ252="5",BJ252,0)</f>
        <v>0</v>
      </c>
      <c r="AB252" s="33">
        <f>IF(AQ252="1",BH252,0)</f>
        <v>0</v>
      </c>
      <c r="AC252" s="33">
        <f>IF(AQ252="1",BI252,0)</f>
        <v>0</v>
      </c>
      <c r="AD252" s="33">
        <f>IF(AQ252="7",BH252,0)</f>
        <v>0</v>
      </c>
      <c r="AE252" s="33">
        <f>IF(AQ252="7",BI252,0)</f>
        <v>0</v>
      </c>
      <c r="AF252" s="33">
        <f>IF(AQ252="2",BH252,0)</f>
        <v>0</v>
      </c>
      <c r="AG252" s="33">
        <f>IF(AQ252="2",BI252,0)</f>
        <v>0</v>
      </c>
      <c r="AH252" s="33">
        <f>IF(AQ252="0",BJ252,0)</f>
        <v>0</v>
      </c>
      <c r="AI252" s="21" t="s">
        <v>421</v>
      </c>
      <c r="AJ252" s="33">
        <f>IF(AN252=0,J252,0)</f>
        <v>0</v>
      </c>
      <c r="AK252" s="33">
        <f>IF(AN252=15,J252,0)</f>
        <v>0</v>
      </c>
      <c r="AL252" s="33">
        <f>IF(AN252=21,J252,0)</f>
        <v>0</v>
      </c>
      <c r="AN252" s="33">
        <v>21</v>
      </c>
      <c r="AO252" s="33">
        <f>G252*0.666666</f>
        <v>0</v>
      </c>
      <c r="AP252" s="33">
        <f>G252*(1-0.666666)</f>
        <v>0</v>
      </c>
      <c r="AQ252" s="51" t="s">
        <v>578</v>
      </c>
      <c r="AV252" s="33">
        <f>AW252+AX252</f>
        <v>0</v>
      </c>
      <c r="AW252" s="33">
        <f>F252*AO252</f>
        <v>0</v>
      </c>
      <c r="AX252" s="33">
        <f>F252*AP252</f>
        <v>0</v>
      </c>
      <c r="AY252" s="51" t="s">
        <v>661</v>
      </c>
      <c r="AZ252" s="51" t="s">
        <v>502</v>
      </c>
      <c r="BA252" s="21" t="s">
        <v>457</v>
      </c>
      <c r="BC252" s="33">
        <f>AW252+AX252</f>
        <v>0</v>
      </c>
      <c r="BD252" s="33">
        <f>G252/(100-BE252)*100</f>
        <v>0</v>
      </c>
      <c r="BE252" s="33">
        <v>0</v>
      </c>
      <c r="BF252" s="33">
        <f>252</f>
        <v>252</v>
      </c>
      <c r="BH252" s="33">
        <f>F252*AO252</f>
        <v>0</v>
      </c>
      <c r="BI252" s="33">
        <f>F252*AP252</f>
        <v>0</v>
      </c>
      <c r="BJ252" s="33">
        <f>F252*G252</f>
        <v>0</v>
      </c>
      <c r="BK252" s="33"/>
      <c r="BL252" s="33">
        <v>894</v>
      </c>
      <c r="BW252" s="33">
        <v>21</v>
      </c>
    </row>
    <row r="253" spans="1:75" ht="15" customHeight="1">
      <c r="A253" s="45"/>
      <c r="C253" s="13" t="s">
        <v>165</v>
      </c>
      <c r="D253" s="13" t="s">
        <v>421</v>
      </c>
      <c r="F253" s="49">
        <v>5</v>
      </c>
      <c r="K253" s="7"/>
    </row>
    <row r="254" spans="1:75" ht="15" customHeight="1">
      <c r="A254" s="45"/>
      <c r="C254" s="13" t="s">
        <v>205</v>
      </c>
      <c r="D254" s="13" t="s">
        <v>421</v>
      </c>
      <c r="F254" s="49">
        <v>1</v>
      </c>
      <c r="K254" s="7"/>
    </row>
    <row r="255" spans="1:75" ht="15" customHeight="1">
      <c r="A255" s="54" t="s">
        <v>421</v>
      </c>
      <c r="B255" s="22" t="s">
        <v>535</v>
      </c>
      <c r="C255" s="79" t="s">
        <v>237</v>
      </c>
      <c r="D255" s="80"/>
      <c r="E255" s="3" t="s">
        <v>544</v>
      </c>
      <c r="F255" s="3" t="s">
        <v>544</v>
      </c>
      <c r="G255" s="3" t="s">
        <v>544</v>
      </c>
      <c r="H255" s="35">
        <f>SUM(H256:H256)</f>
        <v>0</v>
      </c>
      <c r="I255" s="35">
        <f>SUM(I256:I256)</f>
        <v>0</v>
      </c>
      <c r="J255" s="35">
        <f>SUM(J256:J256)</f>
        <v>0</v>
      </c>
      <c r="K255" s="16" t="s">
        <v>421</v>
      </c>
      <c r="AI255" s="21" t="s">
        <v>421</v>
      </c>
      <c r="AS255" s="35">
        <f>SUM(AJ256:AJ256)</f>
        <v>0</v>
      </c>
      <c r="AT255" s="35">
        <f>SUM(AK256:AK256)</f>
        <v>0</v>
      </c>
      <c r="AU255" s="35">
        <f>SUM(AL256:AL256)</f>
        <v>0</v>
      </c>
    </row>
    <row r="256" spans="1:75" ht="13.5" customHeight="1">
      <c r="A256" s="2" t="s">
        <v>67</v>
      </c>
      <c r="B256" s="5" t="s">
        <v>222</v>
      </c>
      <c r="C256" s="66" t="s">
        <v>658</v>
      </c>
      <c r="D256" s="63"/>
      <c r="E256" s="5" t="s">
        <v>571</v>
      </c>
      <c r="F256" s="33">
        <v>280.28800000000001</v>
      </c>
      <c r="G256" s="33">
        <v>0</v>
      </c>
      <c r="H256" s="33">
        <f>F256*AO256</f>
        <v>0</v>
      </c>
      <c r="I256" s="33">
        <f>F256*AP256</f>
        <v>0</v>
      </c>
      <c r="J256" s="33">
        <f>F256*G256</f>
        <v>0</v>
      </c>
      <c r="K256" s="6" t="s">
        <v>416</v>
      </c>
      <c r="Z256" s="33">
        <f>IF(AQ256="5",BJ256,0)</f>
        <v>0</v>
      </c>
      <c r="AB256" s="33">
        <f>IF(AQ256="1",BH256,0)</f>
        <v>0</v>
      </c>
      <c r="AC256" s="33">
        <f>IF(AQ256="1",BI256,0)</f>
        <v>0</v>
      </c>
      <c r="AD256" s="33">
        <f>IF(AQ256="7",BH256,0)</f>
        <v>0</v>
      </c>
      <c r="AE256" s="33">
        <f>IF(AQ256="7",BI256,0)</f>
        <v>0</v>
      </c>
      <c r="AF256" s="33">
        <f>IF(AQ256="2",BH256,0)</f>
        <v>0</v>
      </c>
      <c r="AG256" s="33">
        <f>IF(AQ256="2",BI256,0)</f>
        <v>0</v>
      </c>
      <c r="AH256" s="33">
        <f>IF(AQ256="0",BJ256,0)</f>
        <v>0</v>
      </c>
      <c r="AI256" s="21" t="s">
        <v>421</v>
      </c>
      <c r="AJ256" s="33">
        <f>IF(AN256=0,J256,0)</f>
        <v>0</v>
      </c>
      <c r="AK256" s="33">
        <f>IF(AN256=15,J256,0)</f>
        <v>0</v>
      </c>
      <c r="AL256" s="33">
        <f>IF(AN256=21,J256,0)</f>
        <v>0</v>
      </c>
      <c r="AN256" s="33">
        <v>21</v>
      </c>
      <c r="AO256" s="33">
        <f>G256*0.550812493217228</f>
        <v>0</v>
      </c>
      <c r="AP256" s="33">
        <f>G256*(1-0.550812493217228)</f>
        <v>0</v>
      </c>
      <c r="AQ256" s="51" t="s">
        <v>578</v>
      </c>
      <c r="AV256" s="33">
        <f>AW256+AX256</f>
        <v>0</v>
      </c>
      <c r="AW256" s="33">
        <f>F256*AO256</f>
        <v>0</v>
      </c>
      <c r="AX256" s="33">
        <f>F256*AP256</f>
        <v>0</v>
      </c>
      <c r="AY256" s="51" t="s">
        <v>596</v>
      </c>
      <c r="AZ256" s="51" t="s">
        <v>216</v>
      </c>
      <c r="BA256" s="21" t="s">
        <v>457</v>
      </c>
      <c r="BC256" s="33">
        <f>AW256+AX256</f>
        <v>0</v>
      </c>
      <c r="BD256" s="33">
        <f>G256/(100-BE256)*100</f>
        <v>0</v>
      </c>
      <c r="BE256" s="33">
        <v>0</v>
      </c>
      <c r="BF256" s="33">
        <f>256</f>
        <v>256</v>
      </c>
      <c r="BH256" s="33">
        <f>F256*AO256</f>
        <v>0</v>
      </c>
      <c r="BI256" s="33">
        <f>F256*AP256</f>
        <v>0</v>
      </c>
      <c r="BJ256" s="33">
        <f>F256*G256</f>
        <v>0</v>
      </c>
      <c r="BK256" s="33"/>
      <c r="BL256" s="33">
        <v>93</v>
      </c>
      <c r="BW256" s="33">
        <v>21</v>
      </c>
    </row>
    <row r="257" spans="1:75" ht="15" customHeight="1">
      <c r="A257" s="45"/>
      <c r="C257" s="13" t="s">
        <v>278</v>
      </c>
      <c r="D257" s="13" t="s">
        <v>421</v>
      </c>
      <c r="F257" s="49">
        <v>65.135600000000011</v>
      </c>
      <c r="K257" s="7"/>
    </row>
    <row r="258" spans="1:75" ht="15" customHeight="1">
      <c r="A258" s="45"/>
      <c r="C258" s="13" t="s">
        <v>586</v>
      </c>
      <c r="D258" s="13" t="s">
        <v>421</v>
      </c>
      <c r="F258" s="49">
        <v>48.046600000000005</v>
      </c>
      <c r="K258" s="7"/>
    </row>
    <row r="259" spans="1:75" ht="15" customHeight="1">
      <c r="A259" s="45"/>
      <c r="C259" s="13" t="s">
        <v>610</v>
      </c>
      <c r="D259" s="13" t="s">
        <v>421</v>
      </c>
      <c r="F259" s="49">
        <v>82.102700000000013</v>
      </c>
      <c r="K259" s="7"/>
    </row>
    <row r="260" spans="1:75" ht="15" customHeight="1">
      <c r="A260" s="45"/>
      <c r="C260" s="13" t="s">
        <v>248</v>
      </c>
      <c r="D260" s="13" t="s">
        <v>421</v>
      </c>
      <c r="F260" s="49">
        <v>85.003100000000003</v>
      </c>
      <c r="K260" s="7"/>
    </row>
    <row r="261" spans="1:75" ht="15" customHeight="1">
      <c r="A261" s="45"/>
      <c r="C261" s="13" t="s">
        <v>592</v>
      </c>
      <c r="D261" s="13" t="s">
        <v>421</v>
      </c>
      <c r="F261" s="49">
        <v>0</v>
      </c>
      <c r="K261" s="7"/>
    </row>
    <row r="262" spans="1:75" ht="15" customHeight="1">
      <c r="A262" s="54" t="s">
        <v>421</v>
      </c>
      <c r="B262" s="22" t="s">
        <v>67</v>
      </c>
      <c r="C262" s="79" t="s">
        <v>649</v>
      </c>
      <c r="D262" s="80"/>
      <c r="E262" s="3" t="s">
        <v>544</v>
      </c>
      <c r="F262" s="3" t="s">
        <v>544</v>
      </c>
      <c r="G262" s="3" t="s">
        <v>544</v>
      </c>
      <c r="H262" s="35">
        <f>SUM(H263:H263)</f>
        <v>0</v>
      </c>
      <c r="I262" s="35">
        <f>SUM(I263:I263)</f>
        <v>0</v>
      </c>
      <c r="J262" s="35">
        <f>SUM(J263:J263)</f>
        <v>0</v>
      </c>
      <c r="K262" s="16" t="s">
        <v>421</v>
      </c>
      <c r="AI262" s="21" t="s">
        <v>421</v>
      </c>
      <c r="AS262" s="35">
        <f>SUM(AJ263:AJ263)</f>
        <v>0</v>
      </c>
      <c r="AT262" s="35">
        <f>SUM(AK263:AK263)</f>
        <v>0</v>
      </c>
      <c r="AU262" s="35">
        <f>SUM(AL263:AL263)</f>
        <v>0</v>
      </c>
    </row>
    <row r="263" spans="1:75" ht="13.5" customHeight="1">
      <c r="A263" s="2" t="s">
        <v>425</v>
      </c>
      <c r="B263" s="5" t="s">
        <v>40</v>
      </c>
      <c r="C263" s="66" t="s">
        <v>388</v>
      </c>
      <c r="D263" s="63"/>
      <c r="E263" s="5" t="s">
        <v>571</v>
      </c>
      <c r="F263" s="33">
        <v>5</v>
      </c>
      <c r="G263" s="33">
        <v>0</v>
      </c>
      <c r="H263" s="33">
        <f>F263*AO263</f>
        <v>0</v>
      </c>
      <c r="I263" s="33">
        <f>F263*AP263</f>
        <v>0</v>
      </c>
      <c r="J263" s="33">
        <f>F263*G263</f>
        <v>0</v>
      </c>
      <c r="K263" s="6" t="s">
        <v>277</v>
      </c>
      <c r="Z263" s="33">
        <f>IF(AQ263="5",BJ263,0)</f>
        <v>0</v>
      </c>
      <c r="AB263" s="33">
        <f>IF(AQ263="1",BH263,0)</f>
        <v>0</v>
      </c>
      <c r="AC263" s="33">
        <f>IF(AQ263="1",BI263,0)</f>
        <v>0</v>
      </c>
      <c r="AD263" s="33">
        <f>IF(AQ263="7",BH263,0)</f>
        <v>0</v>
      </c>
      <c r="AE263" s="33">
        <f>IF(AQ263="7",BI263,0)</f>
        <v>0</v>
      </c>
      <c r="AF263" s="33">
        <f>IF(AQ263="2",BH263,0)</f>
        <v>0</v>
      </c>
      <c r="AG263" s="33">
        <f>IF(AQ263="2",BI263,0)</f>
        <v>0</v>
      </c>
      <c r="AH263" s="33">
        <f>IF(AQ263="0",BJ263,0)</f>
        <v>0</v>
      </c>
      <c r="AI263" s="21" t="s">
        <v>421</v>
      </c>
      <c r="AJ263" s="33">
        <f>IF(AN263=0,J263,0)</f>
        <v>0</v>
      </c>
      <c r="AK263" s="33">
        <f>IF(AN263=15,J263,0)</f>
        <v>0</v>
      </c>
      <c r="AL263" s="33">
        <f>IF(AN263=21,J263,0)</f>
        <v>0</v>
      </c>
      <c r="AN263" s="33">
        <v>21</v>
      </c>
      <c r="AO263" s="33">
        <f>G263*0</f>
        <v>0</v>
      </c>
      <c r="AP263" s="33">
        <f>G263*(1-0)</f>
        <v>0</v>
      </c>
      <c r="AQ263" s="51" t="s">
        <v>578</v>
      </c>
      <c r="AV263" s="33">
        <f>AW263+AX263</f>
        <v>0</v>
      </c>
      <c r="AW263" s="33">
        <f>F263*AO263</f>
        <v>0</v>
      </c>
      <c r="AX263" s="33">
        <f>F263*AP263</f>
        <v>0</v>
      </c>
      <c r="AY263" s="51" t="s">
        <v>182</v>
      </c>
      <c r="AZ263" s="51" t="s">
        <v>216</v>
      </c>
      <c r="BA263" s="21" t="s">
        <v>457</v>
      </c>
      <c r="BC263" s="33">
        <f>AW263+AX263</f>
        <v>0</v>
      </c>
      <c r="BD263" s="33">
        <f>G263/(100-BE263)*100</f>
        <v>0</v>
      </c>
      <c r="BE263" s="33">
        <v>0</v>
      </c>
      <c r="BF263" s="33">
        <f>263</f>
        <v>263</v>
      </c>
      <c r="BH263" s="33">
        <f>F263*AO263</f>
        <v>0</v>
      </c>
      <c r="BI263" s="33">
        <f>F263*AP263</f>
        <v>0</v>
      </c>
      <c r="BJ263" s="33">
        <f>F263*G263</f>
        <v>0</v>
      </c>
      <c r="BK263" s="33"/>
      <c r="BL263" s="33">
        <v>97</v>
      </c>
      <c r="BW263" s="33">
        <v>21</v>
      </c>
    </row>
    <row r="264" spans="1:75" ht="15" customHeight="1">
      <c r="A264" s="45"/>
      <c r="C264" s="13" t="s">
        <v>149</v>
      </c>
      <c r="D264" s="13" t="s">
        <v>421</v>
      </c>
      <c r="F264" s="49">
        <v>5</v>
      </c>
      <c r="K264" s="7"/>
    </row>
    <row r="265" spans="1:75" ht="15" customHeight="1">
      <c r="A265" s="54" t="s">
        <v>421</v>
      </c>
      <c r="B265" s="22" t="s">
        <v>215</v>
      </c>
      <c r="C265" s="79" t="s">
        <v>316</v>
      </c>
      <c r="D265" s="80"/>
      <c r="E265" s="3" t="s">
        <v>544</v>
      </c>
      <c r="F265" s="3" t="s">
        <v>544</v>
      </c>
      <c r="G265" s="3" t="s">
        <v>544</v>
      </c>
      <c r="H265" s="35">
        <f>SUM(H266:H266)</f>
        <v>0</v>
      </c>
      <c r="I265" s="35">
        <f>SUM(I266:I266)</f>
        <v>0</v>
      </c>
      <c r="J265" s="35">
        <f>SUM(J266:J266)</f>
        <v>0</v>
      </c>
      <c r="K265" s="16" t="s">
        <v>421</v>
      </c>
      <c r="AI265" s="21" t="s">
        <v>421</v>
      </c>
      <c r="AS265" s="35">
        <f>SUM(AJ266:AJ266)</f>
        <v>0</v>
      </c>
      <c r="AT265" s="35">
        <f>SUM(AK266:AK266)</f>
        <v>0</v>
      </c>
      <c r="AU265" s="35">
        <f>SUM(AL266:AL266)</f>
        <v>0</v>
      </c>
    </row>
    <row r="266" spans="1:75" ht="13.5" customHeight="1">
      <c r="A266" s="2" t="s">
        <v>291</v>
      </c>
      <c r="B266" s="5" t="s">
        <v>93</v>
      </c>
      <c r="C266" s="66" t="s">
        <v>209</v>
      </c>
      <c r="D266" s="63"/>
      <c r="E266" s="5" t="s">
        <v>286</v>
      </c>
      <c r="F266" s="33">
        <v>0.3695</v>
      </c>
      <c r="G266" s="33">
        <v>0</v>
      </c>
      <c r="H266" s="33">
        <f>F266*AO266</f>
        <v>0</v>
      </c>
      <c r="I266" s="33">
        <f>F266*AP266</f>
        <v>0</v>
      </c>
      <c r="J266" s="33">
        <f>F266*G266</f>
        <v>0</v>
      </c>
      <c r="K266" s="6" t="s">
        <v>416</v>
      </c>
      <c r="Z266" s="33">
        <f>IF(AQ266="5",BJ266,0)</f>
        <v>0</v>
      </c>
      <c r="AB266" s="33">
        <f>IF(AQ266="1",BH266,0)</f>
        <v>0</v>
      </c>
      <c r="AC266" s="33">
        <f>IF(AQ266="1",BI266,0)</f>
        <v>0</v>
      </c>
      <c r="AD266" s="33">
        <f>IF(AQ266="7",BH266,0)</f>
        <v>0</v>
      </c>
      <c r="AE266" s="33">
        <f>IF(AQ266="7",BI266,0)</f>
        <v>0</v>
      </c>
      <c r="AF266" s="33">
        <f>IF(AQ266="2",BH266,0)</f>
        <v>0</v>
      </c>
      <c r="AG266" s="33">
        <f>IF(AQ266="2",BI266,0)</f>
        <v>0</v>
      </c>
      <c r="AH266" s="33">
        <f>IF(AQ266="0",BJ266,0)</f>
        <v>0</v>
      </c>
      <c r="AI266" s="21" t="s">
        <v>421</v>
      </c>
      <c r="AJ266" s="33">
        <f>IF(AN266=0,J266,0)</f>
        <v>0</v>
      </c>
      <c r="AK266" s="33">
        <f>IF(AN266=15,J266,0)</f>
        <v>0</v>
      </c>
      <c r="AL266" s="33">
        <f>IF(AN266=21,J266,0)</f>
        <v>0</v>
      </c>
      <c r="AN266" s="33">
        <v>21</v>
      </c>
      <c r="AO266" s="33">
        <f>G266*0</f>
        <v>0</v>
      </c>
      <c r="AP266" s="33">
        <f>G266*(1-0)</f>
        <v>0</v>
      </c>
      <c r="AQ266" s="51" t="s">
        <v>326</v>
      </c>
      <c r="AV266" s="33">
        <f>AW266+AX266</f>
        <v>0</v>
      </c>
      <c r="AW266" s="33">
        <f>F266*AO266</f>
        <v>0</v>
      </c>
      <c r="AX266" s="33">
        <f>F266*AP266</f>
        <v>0</v>
      </c>
      <c r="AY266" s="51" t="s">
        <v>191</v>
      </c>
      <c r="AZ266" s="51" t="s">
        <v>216</v>
      </c>
      <c r="BA266" s="21" t="s">
        <v>457</v>
      </c>
      <c r="BC266" s="33">
        <f>AW266+AX266</f>
        <v>0</v>
      </c>
      <c r="BD266" s="33">
        <f>G266/(100-BE266)*100</f>
        <v>0</v>
      </c>
      <c r="BE266" s="33">
        <v>0</v>
      </c>
      <c r="BF266" s="33">
        <f>266</f>
        <v>266</v>
      </c>
      <c r="BH266" s="33">
        <f>F266*AO266</f>
        <v>0</v>
      </c>
      <c r="BI266" s="33">
        <f>F266*AP266</f>
        <v>0</v>
      </c>
      <c r="BJ266" s="33">
        <f>F266*G266</f>
        <v>0</v>
      </c>
      <c r="BK266" s="33"/>
      <c r="BL266" s="33"/>
      <c r="BW266" s="33">
        <v>21</v>
      </c>
    </row>
    <row r="267" spans="1:75" ht="15" customHeight="1">
      <c r="A267" s="45"/>
      <c r="C267" s="13" t="s">
        <v>531</v>
      </c>
      <c r="D267" s="13" t="s">
        <v>421</v>
      </c>
      <c r="F267" s="49">
        <v>0.36950000000000005</v>
      </c>
      <c r="K267" s="7"/>
    </row>
    <row r="268" spans="1:75" ht="15" customHeight="1">
      <c r="A268" s="54" t="s">
        <v>421</v>
      </c>
      <c r="B268" s="22" t="s">
        <v>342</v>
      </c>
      <c r="C268" s="79" t="s">
        <v>332</v>
      </c>
      <c r="D268" s="80"/>
      <c r="E268" s="3" t="s">
        <v>544</v>
      </c>
      <c r="F268" s="3" t="s">
        <v>544</v>
      </c>
      <c r="G268" s="3" t="s">
        <v>544</v>
      </c>
      <c r="H268" s="35">
        <f>SUM(H269:H269)</f>
        <v>0</v>
      </c>
      <c r="I268" s="35">
        <f>SUM(I269:I269)</f>
        <v>0</v>
      </c>
      <c r="J268" s="35">
        <f>SUM(J269:J269)</f>
        <v>0</v>
      </c>
      <c r="K268" s="16" t="s">
        <v>421</v>
      </c>
      <c r="AI268" s="21" t="s">
        <v>421</v>
      </c>
      <c r="AS268" s="35">
        <f>SUM(AJ269:AJ269)</f>
        <v>0</v>
      </c>
      <c r="AT268" s="35">
        <f>SUM(AK269:AK269)</f>
        <v>0</v>
      </c>
      <c r="AU268" s="35">
        <f>SUM(AL269:AL269)</f>
        <v>0</v>
      </c>
    </row>
    <row r="269" spans="1:75" ht="13.5" customHeight="1">
      <c r="A269" s="2" t="s">
        <v>485</v>
      </c>
      <c r="B269" s="5" t="s">
        <v>513</v>
      </c>
      <c r="C269" s="66" t="s">
        <v>413</v>
      </c>
      <c r="D269" s="63"/>
      <c r="E269" s="5" t="s">
        <v>286</v>
      </c>
      <c r="F269" s="33">
        <v>187.98732000000001</v>
      </c>
      <c r="G269" s="33">
        <v>0</v>
      </c>
      <c r="H269" s="33">
        <f>F269*AO269</f>
        <v>0</v>
      </c>
      <c r="I269" s="33">
        <f>F269*AP269</f>
        <v>0</v>
      </c>
      <c r="J269" s="33">
        <f>F269*G269</f>
        <v>0</v>
      </c>
      <c r="K269" s="6" t="s">
        <v>416</v>
      </c>
      <c r="Z269" s="33">
        <f>IF(AQ269="5",BJ269,0)</f>
        <v>0</v>
      </c>
      <c r="AB269" s="33">
        <f>IF(AQ269="1",BH269,0)</f>
        <v>0</v>
      </c>
      <c r="AC269" s="33">
        <f>IF(AQ269="1",BI269,0)</f>
        <v>0</v>
      </c>
      <c r="AD269" s="33">
        <f>IF(AQ269="7",BH269,0)</f>
        <v>0</v>
      </c>
      <c r="AE269" s="33">
        <f>IF(AQ269="7",BI269,0)</f>
        <v>0</v>
      </c>
      <c r="AF269" s="33">
        <f>IF(AQ269="2",BH269,0)</f>
        <v>0</v>
      </c>
      <c r="AG269" s="33">
        <f>IF(AQ269="2",BI269,0)</f>
        <v>0</v>
      </c>
      <c r="AH269" s="33">
        <f>IF(AQ269="0",BJ269,0)</f>
        <v>0</v>
      </c>
      <c r="AI269" s="21" t="s">
        <v>421</v>
      </c>
      <c r="AJ269" s="33">
        <f>IF(AN269=0,J269,0)</f>
        <v>0</v>
      </c>
      <c r="AK269" s="33">
        <f>IF(AN269=15,J269,0)</f>
        <v>0</v>
      </c>
      <c r="AL269" s="33">
        <f>IF(AN269=21,J269,0)</f>
        <v>0</v>
      </c>
      <c r="AN269" s="33">
        <v>21</v>
      </c>
      <c r="AO269" s="33">
        <f>G269*0</f>
        <v>0</v>
      </c>
      <c r="AP269" s="33">
        <f>G269*(1-0)</f>
        <v>0</v>
      </c>
      <c r="AQ269" s="51" t="s">
        <v>326</v>
      </c>
      <c r="AV269" s="33">
        <f>AW269+AX269</f>
        <v>0</v>
      </c>
      <c r="AW269" s="33">
        <f>F269*AO269</f>
        <v>0</v>
      </c>
      <c r="AX269" s="33">
        <f>F269*AP269</f>
        <v>0</v>
      </c>
      <c r="AY269" s="51" t="s">
        <v>180</v>
      </c>
      <c r="AZ269" s="51" t="s">
        <v>216</v>
      </c>
      <c r="BA269" s="21" t="s">
        <v>457</v>
      </c>
      <c r="BC269" s="33">
        <f>AW269+AX269</f>
        <v>0</v>
      </c>
      <c r="BD269" s="33">
        <f>G269/(100-BE269)*100</f>
        <v>0</v>
      </c>
      <c r="BE269" s="33">
        <v>0</v>
      </c>
      <c r="BF269" s="33">
        <f>269</f>
        <v>269</v>
      </c>
      <c r="BH269" s="33">
        <f>F269*AO269</f>
        <v>0</v>
      </c>
      <c r="BI269" s="33">
        <f>F269*AP269</f>
        <v>0</v>
      </c>
      <c r="BJ269" s="33">
        <f>F269*G269</f>
        <v>0</v>
      </c>
      <c r="BK269" s="33"/>
      <c r="BL269" s="33"/>
      <c r="BW269" s="33">
        <v>21</v>
      </c>
    </row>
    <row r="270" spans="1:75" ht="15" customHeight="1">
      <c r="A270" s="45"/>
      <c r="C270" s="13" t="s">
        <v>372</v>
      </c>
      <c r="D270" s="13" t="s">
        <v>421</v>
      </c>
      <c r="F270" s="49">
        <v>187.98732000000001</v>
      </c>
      <c r="K270" s="7"/>
    </row>
    <row r="271" spans="1:75" ht="15" customHeight="1">
      <c r="A271" s="54" t="s">
        <v>421</v>
      </c>
      <c r="B271" s="22" t="s">
        <v>616</v>
      </c>
      <c r="C271" s="79" t="s">
        <v>204</v>
      </c>
      <c r="D271" s="80"/>
      <c r="E271" s="3" t="s">
        <v>544</v>
      </c>
      <c r="F271" s="3" t="s">
        <v>544</v>
      </c>
      <c r="G271" s="3" t="s">
        <v>544</v>
      </c>
      <c r="H271" s="35">
        <f>SUM(H272:H272)</f>
        <v>0</v>
      </c>
      <c r="I271" s="35">
        <f>SUM(I272:I272)</f>
        <v>0</v>
      </c>
      <c r="J271" s="35">
        <f>SUM(J272:J272)</f>
        <v>0</v>
      </c>
      <c r="K271" s="16" t="s">
        <v>421</v>
      </c>
      <c r="AI271" s="21" t="s">
        <v>421</v>
      </c>
      <c r="AS271" s="35">
        <f>SUM(AJ272:AJ272)</f>
        <v>0</v>
      </c>
      <c r="AT271" s="35">
        <f>SUM(AK272:AK272)</f>
        <v>0</v>
      </c>
      <c r="AU271" s="35">
        <f>SUM(AL272:AL272)</f>
        <v>0</v>
      </c>
    </row>
    <row r="272" spans="1:75" ht="13.5" customHeight="1">
      <c r="A272" s="2" t="s">
        <v>541</v>
      </c>
      <c r="B272" s="5" t="s">
        <v>125</v>
      </c>
      <c r="C272" s="66" t="s">
        <v>107</v>
      </c>
      <c r="D272" s="63"/>
      <c r="E272" s="5" t="s">
        <v>286</v>
      </c>
      <c r="F272" s="33">
        <v>3.11517</v>
      </c>
      <c r="G272" s="33">
        <v>0</v>
      </c>
      <c r="H272" s="33">
        <f>F272*AO272</f>
        <v>0</v>
      </c>
      <c r="I272" s="33">
        <f>F272*AP272</f>
        <v>0</v>
      </c>
      <c r="J272" s="33">
        <f>F272*G272</f>
        <v>0</v>
      </c>
      <c r="K272" s="6" t="s">
        <v>416</v>
      </c>
      <c r="Z272" s="33">
        <f>IF(AQ272="5",BJ272,0)</f>
        <v>0</v>
      </c>
      <c r="AB272" s="33">
        <f>IF(AQ272="1",BH272,0)</f>
        <v>0</v>
      </c>
      <c r="AC272" s="33">
        <f>IF(AQ272="1",BI272,0)</f>
        <v>0</v>
      </c>
      <c r="AD272" s="33">
        <f>IF(AQ272="7",BH272,0)</f>
        <v>0</v>
      </c>
      <c r="AE272" s="33">
        <f>IF(AQ272="7",BI272,0)</f>
        <v>0</v>
      </c>
      <c r="AF272" s="33">
        <f>IF(AQ272="2",BH272,0)</f>
        <v>0</v>
      </c>
      <c r="AG272" s="33">
        <f>IF(AQ272="2",BI272,0)</f>
        <v>0</v>
      </c>
      <c r="AH272" s="33">
        <f>IF(AQ272="0",BJ272,0)</f>
        <v>0</v>
      </c>
      <c r="AI272" s="21" t="s">
        <v>421</v>
      </c>
      <c r="AJ272" s="33">
        <f>IF(AN272=0,J272,0)</f>
        <v>0</v>
      </c>
      <c r="AK272" s="33">
        <f>IF(AN272=15,J272,0)</f>
        <v>0</v>
      </c>
      <c r="AL272" s="33">
        <f>IF(AN272=21,J272,0)</f>
        <v>0</v>
      </c>
      <c r="AN272" s="33">
        <v>21</v>
      </c>
      <c r="AO272" s="33">
        <f>G272*0</f>
        <v>0</v>
      </c>
      <c r="AP272" s="33">
        <f>G272*(1-0)</f>
        <v>0</v>
      </c>
      <c r="AQ272" s="51" t="s">
        <v>326</v>
      </c>
      <c r="AV272" s="33">
        <f>AW272+AX272</f>
        <v>0</v>
      </c>
      <c r="AW272" s="33">
        <f>F272*AO272</f>
        <v>0</v>
      </c>
      <c r="AX272" s="33">
        <f>F272*AP272</f>
        <v>0</v>
      </c>
      <c r="AY272" s="51" t="s">
        <v>315</v>
      </c>
      <c r="AZ272" s="51" t="s">
        <v>216</v>
      </c>
      <c r="BA272" s="21" t="s">
        <v>457</v>
      </c>
      <c r="BC272" s="33">
        <f>AW272+AX272</f>
        <v>0</v>
      </c>
      <c r="BD272" s="33">
        <f>G272/(100-BE272)*100</f>
        <v>0</v>
      </c>
      <c r="BE272" s="33">
        <v>0</v>
      </c>
      <c r="BF272" s="33">
        <f>272</f>
        <v>272</v>
      </c>
      <c r="BH272" s="33">
        <f>F272*AO272</f>
        <v>0</v>
      </c>
      <c r="BI272" s="33">
        <f>F272*AP272</f>
        <v>0</v>
      </c>
      <c r="BJ272" s="33">
        <f>F272*G272</f>
        <v>0</v>
      </c>
      <c r="BK272" s="33"/>
      <c r="BL272" s="33"/>
      <c r="BW272" s="33">
        <v>21</v>
      </c>
    </row>
    <row r="273" spans="1:75" ht="15" customHeight="1">
      <c r="A273" s="45"/>
      <c r="C273" s="13" t="s">
        <v>630</v>
      </c>
      <c r="D273" s="13" t="s">
        <v>421</v>
      </c>
      <c r="F273" s="49">
        <v>3.1151700000000004</v>
      </c>
      <c r="K273" s="7"/>
    </row>
    <row r="274" spans="1:75" ht="15" customHeight="1">
      <c r="A274" s="54" t="s">
        <v>421</v>
      </c>
      <c r="B274" s="22" t="s">
        <v>9</v>
      </c>
      <c r="C274" s="79" t="s">
        <v>324</v>
      </c>
      <c r="D274" s="80"/>
      <c r="E274" s="3" t="s">
        <v>544</v>
      </c>
      <c r="F274" s="3" t="s">
        <v>544</v>
      </c>
      <c r="G274" s="3" t="s">
        <v>544</v>
      </c>
      <c r="H274" s="35">
        <f>SUM(H275:H279)</f>
        <v>0</v>
      </c>
      <c r="I274" s="35">
        <f>SUM(I275:I279)</f>
        <v>0</v>
      </c>
      <c r="J274" s="35">
        <f>SUM(J275:J279)</f>
        <v>0</v>
      </c>
      <c r="K274" s="16" t="s">
        <v>421</v>
      </c>
      <c r="AI274" s="21" t="s">
        <v>421</v>
      </c>
      <c r="AS274" s="35">
        <f>SUM(AJ275:AJ279)</f>
        <v>0</v>
      </c>
      <c r="AT274" s="35">
        <f>SUM(AK275:AK279)</f>
        <v>0</v>
      </c>
      <c r="AU274" s="35">
        <f>SUM(AL275:AL279)</f>
        <v>0</v>
      </c>
    </row>
    <row r="275" spans="1:75" ht="13.5" customHeight="1">
      <c r="A275" s="2" t="s">
        <v>514</v>
      </c>
      <c r="B275" s="5" t="s">
        <v>153</v>
      </c>
      <c r="C275" s="66" t="s">
        <v>465</v>
      </c>
      <c r="D275" s="63"/>
      <c r="E275" s="5" t="s">
        <v>147</v>
      </c>
      <c r="F275" s="33">
        <v>3</v>
      </c>
      <c r="G275" s="33">
        <v>0</v>
      </c>
      <c r="H275" s="33">
        <f>F275*AO275</f>
        <v>0</v>
      </c>
      <c r="I275" s="33">
        <f>F275*AP275</f>
        <v>0</v>
      </c>
      <c r="J275" s="33">
        <f>F275*G275</f>
        <v>0</v>
      </c>
      <c r="K275" s="6" t="s">
        <v>416</v>
      </c>
      <c r="Z275" s="33">
        <f>IF(AQ275="5",BJ275,0)</f>
        <v>0</v>
      </c>
      <c r="AB275" s="33">
        <f>IF(AQ275="1",BH275,0)</f>
        <v>0</v>
      </c>
      <c r="AC275" s="33">
        <f>IF(AQ275="1",BI275,0)</f>
        <v>0</v>
      </c>
      <c r="AD275" s="33">
        <f>IF(AQ275="7",BH275,0)</f>
        <v>0</v>
      </c>
      <c r="AE275" s="33">
        <f>IF(AQ275="7",BI275,0)</f>
        <v>0</v>
      </c>
      <c r="AF275" s="33">
        <f>IF(AQ275="2",BH275,0)</f>
        <v>0</v>
      </c>
      <c r="AG275" s="33">
        <f>IF(AQ275="2",BI275,0)</f>
        <v>0</v>
      </c>
      <c r="AH275" s="33">
        <f>IF(AQ275="0",BJ275,0)</f>
        <v>0</v>
      </c>
      <c r="AI275" s="21" t="s">
        <v>421</v>
      </c>
      <c r="AJ275" s="33">
        <f>IF(AN275=0,J275,0)</f>
        <v>0</v>
      </c>
      <c r="AK275" s="33">
        <f>IF(AN275=15,J275,0)</f>
        <v>0</v>
      </c>
      <c r="AL275" s="33">
        <f>IF(AN275=21,J275,0)</f>
        <v>0</v>
      </c>
      <c r="AN275" s="33">
        <v>21</v>
      </c>
      <c r="AO275" s="33">
        <f>G275*0</f>
        <v>0</v>
      </c>
      <c r="AP275" s="33">
        <f>G275*(1-0)</f>
        <v>0</v>
      </c>
      <c r="AQ275" s="51" t="s">
        <v>419</v>
      </c>
      <c r="AV275" s="33">
        <f>AW275+AX275</f>
        <v>0</v>
      </c>
      <c r="AW275" s="33">
        <f>F275*AO275</f>
        <v>0</v>
      </c>
      <c r="AX275" s="33">
        <f>F275*AP275</f>
        <v>0</v>
      </c>
      <c r="AY275" s="51" t="s">
        <v>645</v>
      </c>
      <c r="AZ275" s="51" t="s">
        <v>216</v>
      </c>
      <c r="BA275" s="21" t="s">
        <v>457</v>
      </c>
      <c r="BC275" s="33">
        <f>AW275+AX275</f>
        <v>0</v>
      </c>
      <c r="BD275" s="33">
        <f>G275/(100-BE275)*100</f>
        <v>0</v>
      </c>
      <c r="BE275" s="33">
        <v>0</v>
      </c>
      <c r="BF275" s="33">
        <f>275</f>
        <v>275</v>
      </c>
      <c r="BH275" s="33">
        <f>F275*AO275</f>
        <v>0</v>
      </c>
      <c r="BI275" s="33">
        <f>F275*AP275</f>
        <v>0</v>
      </c>
      <c r="BJ275" s="33">
        <f>F275*G275</f>
        <v>0</v>
      </c>
      <c r="BK275" s="33"/>
      <c r="BL275" s="33"/>
      <c r="BW275" s="33">
        <v>21</v>
      </c>
    </row>
    <row r="276" spans="1:75" ht="15" customHeight="1">
      <c r="A276" s="45"/>
      <c r="C276" s="13" t="s">
        <v>188</v>
      </c>
      <c r="D276" s="13" t="s">
        <v>421</v>
      </c>
      <c r="F276" s="49">
        <v>1</v>
      </c>
      <c r="K276" s="7"/>
    </row>
    <row r="277" spans="1:75" ht="15" customHeight="1">
      <c r="A277" s="45"/>
      <c r="C277" s="13" t="s">
        <v>218</v>
      </c>
      <c r="D277" s="13" t="s">
        <v>421</v>
      </c>
      <c r="F277" s="49">
        <v>2</v>
      </c>
      <c r="K277" s="7"/>
    </row>
    <row r="278" spans="1:75" ht="13.5" customHeight="1">
      <c r="A278" s="2" t="s">
        <v>15</v>
      </c>
      <c r="B278" s="5" t="s">
        <v>105</v>
      </c>
      <c r="C278" s="66" t="s">
        <v>18</v>
      </c>
      <c r="D278" s="63"/>
      <c r="E278" s="5" t="s">
        <v>147</v>
      </c>
      <c r="F278" s="33">
        <v>1</v>
      </c>
      <c r="G278" s="33">
        <v>0</v>
      </c>
      <c r="H278" s="33">
        <f>F278*AO278</f>
        <v>0</v>
      </c>
      <c r="I278" s="33">
        <f>F278*AP278</f>
        <v>0</v>
      </c>
      <c r="J278" s="33">
        <f>F278*G278</f>
        <v>0</v>
      </c>
      <c r="K278" s="6" t="s">
        <v>421</v>
      </c>
      <c r="Z278" s="33">
        <f>IF(AQ278="5",BJ278,0)</f>
        <v>0</v>
      </c>
      <c r="AB278" s="33">
        <f>IF(AQ278="1",BH278,0)</f>
        <v>0</v>
      </c>
      <c r="AC278" s="33">
        <f>IF(AQ278="1",BI278,0)</f>
        <v>0</v>
      </c>
      <c r="AD278" s="33">
        <f>IF(AQ278="7",BH278,0)</f>
        <v>0</v>
      </c>
      <c r="AE278" s="33">
        <f>IF(AQ278="7",BI278,0)</f>
        <v>0</v>
      </c>
      <c r="AF278" s="33">
        <f>IF(AQ278="2",BH278,0)</f>
        <v>0</v>
      </c>
      <c r="AG278" s="33">
        <f>IF(AQ278="2",BI278,0)</f>
        <v>0</v>
      </c>
      <c r="AH278" s="33">
        <f>IF(AQ278="0",BJ278,0)</f>
        <v>0</v>
      </c>
      <c r="AI278" s="21" t="s">
        <v>421</v>
      </c>
      <c r="AJ278" s="33">
        <f>IF(AN278=0,J278,0)</f>
        <v>0</v>
      </c>
      <c r="AK278" s="33">
        <f>IF(AN278=15,J278,0)</f>
        <v>0</v>
      </c>
      <c r="AL278" s="33">
        <f>IF(AN278=21,J278,0)</f>
        <v>0</v>
      </c>
      <c r="AN278" s="33">
        <v>21</v>
      </c>
      <c r="AO278" s="33">
        <f>G278*1</f>
        <v>0</v>
      </c>
      <c r="AP278" s="33">
        <f>G278*(1-1)</f>
        <v>0</v>
      </c>
      <c r="AQ278" s="51" t="s">
        <v>578</v>
      </c>
      <c r="AV278" s="33">
        <f>AW278+AX278</f>
        <v>0</v>
      </c>
      <c r="AW278" s="33">
        <f>F278*AO278</f>
        <v>0</v>
      </c>
      <c r="AX278" s="33">
        <f>F278*AP278</f>
        <v>0</v>
      </c>
      <c r="AY278" s="51" t="s">
        <v>645</v>
      </c>
      <c r="AZ278" s="51" t="s">
        <v>216</v>
      </c>
      <c r="BA278" s="21" t="s">
        <v>457</v>
      </c>
      <c r="BC278" s="33">
        <f>AW278+AX278</f>
        <v>0</v>
      </c>
      <c r="BD278" s="33">
        <f>G278/(100-BE278)*100</f>
        <v>0</v>
      </c>
      <c r="BE278" s="33">
        <v>0</v>
      </c>
      <c r="BF278" s="33">
        <f>278</f>
        <v>278</v>
      </c>
      <c r="BH278" s="33">
        <f>F278*AO278</f>
        <v>0</v>
      </c>
      <c r="BI278" s="33">
        <f>F278*AP278</f>
        <v>0</v>
      </c>
      <c r="BJ278" s="33">
        <f>F278*G278</f>
        <v>0</v>
      </c>
      <c r="BK278" s="33"/>
      <c r="BL278" s="33"/>
      <c r="BW278" s="33">
        <v>21</v>
      </c>
    </row>
    <row r="279" spans="1:75" ht="13.5" customHeight="1">
      <c r="A279" s="2" t="s">
        <v>236</v>
      </c>
      <c r="B279" s="5" t="s">
        <v>407</v>
      </c>
      <c r="C279" s="66" t="s">
        <v>498</v>
      </c>
      <c r="D279" s="63"/>
      <c r="E279" s="5" t="s">
        <v>147</v>
      </c>
      <c r="F279" s="33">
        <v>2</v>
      </c>
      <c r="G279" s="33">
        <v>0</v>
      </c>
      <c r="H279" s="33">
        <f>F279*AO279</f>
        <v>0</v>
      </c>
      <c r="I279" s="33">
        <f>F279*AP279</f>
        <v>0</v>
      </c>
      <c r="J279" s="33">
        <f>F279*G279</f>
        <v>0</v>
      </c>
      <c r="K279" s="6" t="s">
        <v>421</v>
      </c>
      <c r="Z279" s="33">
        <f>IF(AQ279="5",BJ279,0)</f>
        <v>0</v>
      </c>
      <c r="AB279" s="33">
        <f>IF(AQ279="1",BH279,0)</f>
        <v>0</v>
      </c>
      <c r="AC279" s="33">
        <f>IF(AQ279="1",BI279,0)</f>
        <v>0</v>
      </c>
      <c r="AD279" s="33">
        <f>IF(AQ279="7",BH279,0)</f>
        <v>0</v>
      </c>
      <c r="AE279" s="33">
        <f>IF(AQ279="7",BI279,0)</f>
        <v>0</v>
      </c>
      <c r="AF279" s="33">
        <f>IF(AQ279="2",BH279,0)</f>
        <v>0</v>
      </c>
      <c r="AG279" s="33">
        <f>IF(AQ279="2",BI279,0)</f>
        <v>0</v>
      </c>
      <c r="AH279" s="33">
        <f>IF(AQ279="0",BJ279,0)</f>
        <v>0</v>
      </c>
      <c r="AI279" s="21" t="s">
        <v>421</v>
      </c>
      <c r="AJ279" s="33">
        <f>IF(AN279=0,J279,0)</f>
        <v>0</v>
      </c>
      <c r="AK279" s="33">
        <f>IF(AN279=15,J279,0)</f>
        <v>0</v>
      </c>
      <c r="AL279" s="33">
        <f>IF(AN279=21,J279,0)</f>
        <v>0</v>
      </c>
      <c r="AN279" s="33">
        <v>21</v>
      </c>
      <c r="AO279" s="33">
        <f>G279*1</f>
        <v>0</v>
      </c>
      <c r="AP279" s="33">
        <f>G279*(1-1)</f>
        <v>0</v>
      </c>
      <c r="AQ279" s="51" t="s">
        <v>578</v>
      </c>
      <c r="AV279" s="33">
        <f>AW279+AX279</f>
        <v>0</v>
      </c>
      <c r="AW279" s="33">
        <f>F279*AO279</f>
        <v>0</v>
      </c>
      <c r="AX279" s="33">
        <f>F279*AP279</f>
        <v>0</v>
      </c>
      <c r="AY279" s="51" t="s">
        <v>645</v>
      </c>
      <c r="AZ279" s="51" t="s">
        <v>216</v>
      </c>
      <c r="BA279" s="21" t="s">
        <v>457</v>
      </c>
      <c r="BC279" s="33">
        <f>AW279+AX279</f>
        <v>0</v>
      </c>
      <c r="BD279" s="33">
        <f>G279/(100-BE279)*100</f>
        <v>0</v>
      </c>
      <c r="BE279" s="33">
        <v>0</v>
      </c>
      <c r="BF279" s="33">
        <f>279</f>
        <v>279</v>
      </c>
      <c r="BH279" s="33">
        <f>F279*AO279</f>
        <v>0</v>
      </c>
      <c r="BI279" s="33">
        <f>F279*AP279</f>
        <v>0</v>
      </c>
      <c r="BJ279" s="33">
        <f>F279*G279</f>
        <v>0</v>
      </c>
      <c r="BK279" s="33"/>
      <c r="BL279" s="33"/>
      <c r="BW279" s="33">
        <v>21</v>
      </c>
    </row>
    <row r="280" spans="1:75" ht="15" customHeight="1">
      <c r="A280" s="54" t="s">
        <v>421</v>
      </c>
      <c r="B280" s="22" t="s">
        <v>352</v>
      </c>
      <c r="C280" s="79" t="s">
        <v>375</v>
      </c>
      <c r="D280" s="80"/>
      <c r="E280" s="3" t="s">
        <v>544</v>
      </c>
      <c r="F280" s="3" t="s">
        <v>544</v>
      </c>
      <c r="G280" s="3" t="s">
        <v>544</v>
      </c>
      <c r="H280" s="35">
        <f>SUM(H281:H281)</f>
        <v>0</v>
      </c>
      <c r="I280" s="35">
        <f>SUM(I281:I281)</f>
        <v>0</v>
      </c>
      <c r="J280" s="35">
        <f>SUM(J281:J281)</f>
        <v>0</v>
      </c>
      <c r="K280" s="16" t="s">
        <v>421</v>
      </c>
      <c r="AI280" s="21" t="s">
        <v>421</v>
      </c>
      <c r="AS280" s="35">
        <f>SUM(AJ281:AJ281)</f>
        <v>0</v>
      </c>
      <c r="AT280" s="35">
        <f>SUM(AK281:AK281)</f>
        <v>0</v>
      </c>
      <c r="AU280" s="35">
        <f>SUM(AL281:AL281)</f>
        <v>0</v>
      </c>
    </row>
    <row r="281" spans="1:75" ht="13.5" customHeight="1">
      <c r="A281" s="2" t="s">
        <v>80</v>
      </c>
      <c r="B281" s="5" t="s">
        <v>379</v>
      </c>
      <c r="C281" s="66" t="s">
        <v>227</v>
      </c>
      <c r="D281" s="63"/>
      <c r="E281" s="5" t="s">
        <v>562</v>
      </c>
      <c r="F281" s="33">
        <v>1.8134999999999999</v>
      </c>
      <c r="G281" s="33">
        <v>0</v>
      </c>
      <c r="H281" s="33">
        <f>F281*AO281</f>
        <v>0</v>
      </c>
      <c r="I281" s="33">
        <f>F281*AP281</f>
        <v>0</v>
      </c>
      <c r="J281" s="33">
        <f>F281*G281</f>
        <v>0</v>
      </c>
      <c r="K281" s="6" t="s">
        <v>416</v>
      </c>
      <c r="Z281" s="33">
        <f>IF(AQ281="5",BJ281,0)</f>
        <v>0</v>
      </c>
      <c r="AB281" s="33">
        <f>IF(AQ281="1",BH281,0)</f>
        <v>0</v>
      </c>
      <c r="AC281" s="33">
        <f>IF(AQ281="1",BI281,0)</f>
        <v>0</v>
      </c>
      <c r="AD281" s="33">
        <f>IF(AQ281="7",BH281,0)</f>
        <v>0</v>
      </c>
      <c r="AE281" s="33">
        <f>IF(AQ281="7",BI281,0)</f>
        <v>0</v>
      </c>
      <c r="AF281" s="33">
        <f>IF(AQ281="2",BH281,0)</f>
        <v>0</v>
      </c>
      <c r="AG281" s="33">
        <f>IF(AQ281="2",BI281,0)</f>
        <v>0</v>
      </c>
      <c r="AH281" s="33">
        <f>IF(AQ281="0",BJ281,0)</f>
        <v>0</v>
      </c>
      <c r="AI281" s="21" t="s">
        <v>421</v>
      </c>
      <c r="AJ281" s="33">
        <f>IF(AN281=0,J281,0)</f>
        <v>0</v>
      </c>
      <c r="AK281" s="33">
        <f>IF(AN281=15,J281,0)</f>
        <v>0</v>
      </c>
      <c r="AL281" s="33">
        <f>IF(AN281=21,J281,0)</f>
        <v>0</v>
      </c>
      <c r="AN281" s="33">
        <v>21</v>
      </c>
      <c r="AO281" s="33">
        <f>G281*0.777390832192359</f>
        <v>0</v>
      </c>
      <c r="AP281" s="33">
        <f>G281*(1-0.777390832192359)</f>
        <v>0</v>
      </c>
      <c r="AQ281" s="51" t="s">
        <v>419</v>
      </c>
      <c r="AV281" s="33">
        <f>AW281+AX281</f>
        <v>0</v>
      </c>
      <c r="AW281" s="33">
        <f>F281*AO281</f>
        <v>0</v>
      </c>
      <c r="AX281" s="33">
        <f>F281*AP281</f>
        <v>0</v>
      </c>
      <c r="AY281" s="51" t="s">
        <v>519</v>
      </c>
      <c r="AZ281" s="51" t="s">
        <v>216</v>
      </c>
      <c r="BA281" s="21" t="s">
        <v>457</v>
      </c>
      <c r="BC281" s="33">
        <f>AW281+AX281</f>
        <v>0</v>
      </c>
      <c r="BD281" s="33">
        <f>G281/(100-BE281)*100</f>
        <v>0</v>
      </c>
      <c r="BE281" s="33">
        <v>0</v>
      </c>
      <c r="BF281" s="33">
        <f>281</f>
        <v>281</v>
      </c>
      <c r="BH281" s="33">
        <f>F281*AO281</f>
        <v>0</v>
      </c>
      <c r="BI281" s="33">
        <f>F281*AP281</f>
        <v>0</v>
      </c>
      <c r="BJ281" s="33">
        <f>F281*G281</f>
        <v>0</v>
      </c>
      <c r="BK281" s="33"/>
      <c r="BL281" s="33"/>
      <c r="BW281" s="33">
        <v>21</v>
      </c>
    </row>
    <row r="282" spans="1:75" ht="15" customHeight="1">
      <c r="A282" s="45"/>
      <c r="C282" s="13" t="s">
        <v>579</v>
      </c>
      <c r="D282" s="13" t="s">
        <v>421</v>
      </c>
      <c r="F282" s="49">
        <v>1.8135000000000001</v>
      </c>
      <c r="K282" s="7"/>
    </row>
    <row r="283" spans="1:75" ht="15" customHeight="1">
      <c r="A283" s="54" t="s">
        <v>421</v>
      </c>
      <c r="B283" s="22" t="s">
        <v>197</v>
      </c>
      <c r="C283" s="79" t="s">
        <v>262</v>
      </c>
      <c r="D283" s="80"/>
      <c r="E283" s="3" t="s">
        <v>544</v>
      </c>
      <c r="F283" s="3" t="s">
        <v>544</v>
      </c>
      <c r="G283" s="3" t="s">
        <v>544</v>
      </c>
      <c r="H283" s="35">
        <f>SUM(H284:H294)</f>
        <v>0</v>
      </c>
      <c r="I283" s="35">
        <f>SUM(I284:I294)</f>
        <v>0</v>
      </c>
      <c r="J283" s="35">
        <f>SUM(J284:J294)</f>
        <v>0</v>
      </c>
      <c r="K283" s="16" t="s">
        <v>421</v>
      </c>
      <c r="AI283" s="21" t="s">
        <v>421</v>
      </c>
      <c r="AS283" s="35">
        <f>SUM(AJ284:AJ294)</f>
        <v>0</v>
      </c>
      <c r="AT283" s="35">
        <f>SUM(AK284:AK294)</f>
        <v>0</v>
      </c>
      <c r="AU283" s="35">
        <f>SUM(AL284:AL294)</f>
        <v>0</v>
      </c>
    </row>
    <row r="284" spans="1:75" ht="13.5" customHeight="1">
      <c r="A284" s="2" t="s">
        <v>644</v>
      </c>
      <c r="B284" s="5" t="s">
        <v>157</v>
      </c>
      <c r="C284" s="66" t="s">
        <v>119</v>
      </c>
      <c r="D284" s="63"/>
      <c r="E284" s="5" t="s">
        <v>286</v>
      </c>
      <c r="F284" s="33">
        <v>2.4712200000000002</v>
      </c>
      <c r="G284" s="33">
        <v>0</v>
      </c>
      <c r="H284" s="33">
        <f>F284*AO284</f>
        <v>0</v>
      </c>
      <c r="I284" s="33">
        <f>F284*AP284</f>
        <v>0</v>
      </c>
      <c r="J284" s="33">
        <f>F284*G284</f>
        <v>0</v>
      </c>
      <c r="K284" s="6" t="s">
        <v>416</v>
      </c>
      <c r="Z284" s="33">
        <f>IF(AQ284="5",BJ284,0)</f>
        <v>0</v>
      </c>
      <c r="AB284" s="33">
        <f>IF(AQ284="1",BH284,0)</f>
        <v>0</v>
      </c>
      <c r="AC284" s="33">
        <f>IF(AQ284="1",BI284,0)</f>
        <v>0</v>
      </c>
      <c r="AD284" s="33">
        <f>IF(AQ284="7",BH284,0)</f>
        <v>0</v>
      </c>
      <c r="AE284" s="33">
        <f>IF(AQ284="7",BI284,0)</f>
        <v>0</v>
      </c>
      <c r="AF284" s="33">
        <f>IF(AQ284="2",BH284,0)</f>
        <v>0</v>
      </c>
      <c r="AG284" s="33">
        <f>IF(AQ284="2",BI284,0)</f>
        <v>0</v>
      </c>
      <c r="AH284" s="33">
        <f>IF(AQ284="0",BJ284,0)</f>
        <v>0</v>
      </c>
      <c r="AI284" s="21" t="s">
        <v>421</v>
      </c>
      <c r="AJ284" s="33">
        <f>IF(AN284=0,J284,0)</f>
        <v>0</v>
      </c>
      <c r="AK284" s="33">
        <f>IF(AN284=15,J284,0)</f>
        <v>0</v>
      </c>
      <c r="AL284" s="33">
        <f>IF(AN284=21,J284,0)</f>
        <v>0</v>
      </c>
      <c r="AN284" s="33">
        <v>21</v>
      </c>
      <c r="AO284" s="33">
        <f>G284*0</f>
        <v>0</v>
      </c>
      <c r="AP284" s="33">
        <f>G284*(1-0)</f>
        <v>0</v>
      </c>
      <c r="AQ284" s="51" t="s">
        <v>326</v>
      </c>
      <c r="AV284" s="33">
        <f>AW284+AX284</f>
        <v>0</v>
      </c>
      <c r="AW284" s="33">
        <f>F284*AO284</f>
        <v>0</v>
      </c>
      <c r="AX284" s="33">
        <f>F284*AP284</f>
        <v>0</v>
      </c>
      <c r="AY284" s="51" t="s">
        <v>254</v>
      </c>
      <c r="AZ284" s="51" t="s">
        <v>216</v>
      </c>
      <c r="BA284" s="21" t="s">
        <v>457</v>
      </c>
      <c r="BC284" s="33">
        <f>AW284+AX284</f>
        <v>0</v>
      </c>
      <c r="BD284" s="33">
        <f>G284/(100-BE284)*100</f>
        <v>0</v>
      </c>
      <c r="BE284" s="33">
        <v>0</v>
      </c>
      <c r="BF284" s="33">
        <f>284</f>
        <v>284</v>
      </c>
      <c r="BH284" s="33">
        <f>F284*AO284</f>
        <v>0</v>
      </c>
      <c r="BI284" s="33">
        <f>F284*AP284</f>
        <v>0</v>
      </c>
      <c r="BJ284" s="33">
        <f>F284*G284</f>
        <v>0</v>
      </c>
      <c r="BK284" s="33"/>
      <c r="BL284" s="33"/>
      <c r="BW284" s="33">
        <v>21</v>
      </c>
    </row>
    <row r="285" spans="1:75" ht="15" customHeight="1">
      <c r="A285" s="45"/>
      <c r="C285" s="13" t="s">
        <v>252</v>
      </c>
      <c r="D285" s="13" t="s">
        <v>421</v>
      </c>
      <c r="F285" s="49">
        <v>2.4712200000000002</v>
      </c>
      <c r="K285" s="7"/>
    </row>
    <row r="286" spans="1:75" ht="13.5" customHeight="1">
      <c r="A286" s="2" t="s">
        <v>293</v>
      </c>
      <c r="B286" s="5" t="s">
        <v>433</v>
      </c>
      <c r="C286" s="66" t="s">
        <v>448</v>
      </c>
      <c r="D286" s="63"/>
      <c r="E286" s="5" t="s">
        <v>286</v>
      </c>
      <c r="F286" s="33">
        <v>2.4712200000000002</v>
      </c>
      <c r="G286" s="33">
        <v>0</v>
      </c>
      <c r="H286" s="33">
        <f>F286*AO286</f>
        <v>0</v>
      </c>
      <c r="I286" s="33">
        <f>F286*AP286</f>
        <v>0</v>
      </c>
      <c r="J286" s="33">
        <f>F286*G286</f>
        <v>0</v>
      </c>
      <c r="K286" s="6" t="s">
        <v>416</v>
      </c>
      <c r="Z286" s="33">
        <f>IF(AQ286="5",BJ286,0)</f>
        <v>0</v>
      </c>
      <c r="AB286" s="33">
        <f>IF(AQ286="1",BH286,0)</f>
        <v>0</v>
      </c>
      <c r="AC286" s="33">
        <f>IF(AQ286="1",BI286,0)</f>
        <v>0</v>
      </c>
      <c r="AD286" s="33">
        <f>IF(AQ286="7",BH286,0)</f>
        <v>0</v>
      </c>
      <c r="AE286" s="33">
        <f>IF(AQ286="7",BI286,0)</f>
        <v>0</v>
      </c>
      <c r="AF286" s="33">
        <f>IF(AQ286="2",BH286,0)</f>
        <v>0</v>
      </c>
      <c r="AG286" s="33">
        <f>IF(AQ286="2",BI286,0)</f>
        <v>0</v>
      </c>
      <c r="AH286" s="33">
        <f>IF(AQ286="0",BJ286,0)</f>
        <v>0</v>
      </c>
      <c r="AI286" s="21" t="s">
        <v>421</v>
      </c>
      <c r="AJ286" s="33">
        <f>IF(AN286=0,J286,0)</f>
        <v>0</v>
      </c>
      <c r="AK286" s="33">
        <f>IF(AN286=15,J286,0)</f>
        <v>0</v>
      </c>
      <c r="AL286" s="33">
        <f>IF(AN286=21,J286,0)</f>
        <v>0</v>
      </c>
      <c r="AN286" s="33">
        <v>21</v>
      </c>
      <c r="AO286" s="33">
        <f>G286*0</f>
        <v>0</v>
      </c>
      <c r="AP286" s="33">
        <f>G286*(1-0)</f>
        <v>0</v>
      </c>
      <c r="AQ286" s="51" t="s">
        <v>326</v>
      </c>
      <c r="AV286" s="33">
        <f>AW286+AX286</f>
        <v>0</v>
      </c>
      <c r="AW286" s="33">
        <f>F286*AO286</f>
        <v>0</v>
      </c>
      <c r="AX286" s="33">
        <f>F286*AP286</f>
        <v>0</v>
      </c>
      <c r="AY286" s="51" t="s">
        <v>254</v>
      </c>
      <c r="AZ286" s="51" t="s">
        <v>216</v>
      </c>
      <c r="BA286" s="21" t="s">
        <v>457</v>
      </c>
      <c r="BC286" s="33">
        <f>AW286+AX286</f>
        <v>0</v>
      </c>
      <c r="BD286" s="33">
        <f>G286/(100-BE286)*100</f>
        <v>0</v>
      </c>
      <c r="BE286" s="33">
        <v>0</v>
      </c>
      <c r="BF286" s="33">
        <f>286</f>
        <v>286</v>
      </c>
      <c r="BH286" s="33">
        <f>F286*AO286</f>
        <v>0</v>
      </c>
      <c r="BI286" s="33">
        <f>F286*AP286</f>
        <v>0</v>
      </c>
      <c r="BJ286" s="33">
        <f>F286*G286</f>
        <v>0</v>
      </c>
      <c r="BK286" s="33"/>
      <c r="BL286" s="33"/>
      <c r="BW286" s="33">
        <v>21</v>
      </c>
    </row>
    <row r="287" spans="1:75" ht="15" customHeight="1">
      <c r="A287" s="45"/>
      <c r="C287" s="13" t="s">
        <v>252</v>
      </c>
      <c r="D287" s="13" t="s">
        <v>421</v>
      </c>
      <c r="F287" s="49">
        <v>2.4712200000000002</v>
      </c>
      <c r="K287" s="7"/>
    </row>
    <row r="288" spans="1:75" ht="13.5" customHeight="1">
      <c r="A288" s="2" t="s">
        <v>486</v>
      </c>
      <c r="B288" s="5" t="s">
        <v>399</v>
      </c>
      <c r="C288" s="66" t="s">
        <v>271</v>
      </c>
      <c r="D288" s="63"/>
      <c r="E288" s="5" t="s">
        <v>286</v>
      </c>
      <c r="F288" s="33">
        <v>46.953180000000003</v>
      </c>
      <c r="G288" s="33">
        <v>0</v>
      </c>
      <c r="H288" s="33">
        <f>F288*AO288</f>
        <v>0</v>
      </c>
      <c r="I288" s="33">
        <f>F288*AP288</f>
        <v>0</v>
      </c>
      <c r="J288" s="33">
        <f>F288*G288</f>
        <v>0</v>
      </c>
      <c r="K288" s="6" t="s">
        <v>416</v>
      </c>
      <c r="Z288" s="33">
        <f>IF(AQ288="5",BJ288,0)</f>
        <v>0</v>
      </c>
      <c r="AB288" s="33">
        <f>IF(AQ288="1",BH288,0)</f>
        <v>0</v>
      </c>
      <c r="AC288" s="33">
        <f>IF(AQ288="1",BI288,0)</f>
        <v>0</v>
      </c>
      <c r="AD288" s="33">
        <f>IF(AQ288="7",BH288,0)</f>
        <v>0</v>
      </c>
      <c r="AE288" s="33">
        <f>IF(AQ288="7",BI288,0)</f>
        <v>0</v>
      </c>
      <c r="AF288" s="33">
        <f>IF(AQ288="2",BH288,0)</f>
        <v>0</v>
      </c>
      <c r="AG288" s="33">
        <f>IF(AQ288="2",BI288,0)</f>
        <v>0</v>
      </c>
      <c r="AH288" s="33">
        <f>IF(AQ288="0",BJ288,0)</f>
        <v>0</v>
      </c>
      <c r="AI288" s="21" t="s">
        <v>421</v>
      </c>
      <c r="AJ288" s="33">
        <f>IF(AN288=0,J288,0)</f>
        <v>0</v>
      </c>
      <c r="AK288" s="33">
        <f>IF(AN288=15,J288,0)</f>
        <v>0</v>
      </c>
      <c r="AL288" s="33">
        <f>IF(AN288=21,J288,0)</f>
        <v>0</v>
      </c>
      <c r="AN288" s="33">
        <v>21</v>
      </c>
      <c r="AO288" s="33">
        <f>G288*0</f>
        <v>0</v>
      </c>
      <c r="AP288" s="33">
        <f>G288*(1-0)</f>
        <v>0</v>
      </c>
      <c r="AQ288" s="51" t="s">
        <v>326</v>
      </c>
      <c r="AV288" s="33">
        <f>AW288+AX288</f>
        <v>0</v>
      </c>
      <c r="AW288" s="33">
        <f>F288*AO288</f>
        <v>0</v>
      </c>
      <c r="AX288" s="33">
        <f>F288*AP288</f>
        <v>0</v>
      </c>
      <c r="AY288" s="51" t="s">
        <v>254</v>
      </c>
      <c r="AZ288" s="51" t="s">
        <v>216</v>
      </c>
      <c r="BA288" s="21" t="s">
        <v>457</v>
      </c>
      <c r="BC288" s="33">
        <f>AW288+AX288</f>
        <v>0</v>
      </c>
      <c r="BD288" s="33">
        <f>G288/(100-BE288)*100</f>
        <v>0</v>
      </c>
      <c r="BE288" s="33">
        <v>0</v>
      </c>
      <c r="BF288" s="33">
        <f>288</f>
        <v>288</v>
      </c>
      <c r="BH288" s="33">
        <f>F288*AO288</f>
        <v>0</v>
      </c>
      <c r="BI288" s="33">
        <f>F288*AP288</f>
        <v>0</v>
      </c>
      <c r="BJ288" s="33">
        <f>F288*G288</f>
        <v>0</v>
      </c>
      <c r="BK288" s="33"/>
      <c r="BL288" s="33"/>
      <c r="BW288" s="33">
        <v>21</v>
      </c>
    </row>
    <row r="289" spans="1:75" ht="15" customHeight="1">
      <c r="A289" s="45"/>
      <c r="C289" s="13" t="s">
        <v>455</v>
      </c>
      <c r="D289" s="13" t="s">
        <v>421</v>
      </c>
      <c r="F289" s="49">
        <v>46.953180000000003</v>
      </c>
      <c r="K289" s="7"/>
    </row>
    <row r="290" spans="1:75" ht="13.5" customHeight="1">
      <c r="A290" s="2" t="s">
        <v>285</v>
      </c>
      <c r="B290" s="5" t="s">
        <v>49</v>
      </c>
      <c r="C290" s="66" t="s">
        <v>321</v>
      </c>
      <c r="D290" s="63"/>
      <c r="E290" s="5" t="s">
        <v>286</v>
      </c>
      <c r="F290" s="33">
        <v>2.4712200000000002</v>
      </c>
      <c r="G290" s="33">
        <v>0</v>
      </c>
      <c r="H290" s="33">
        <f>F290*AO290</f>
        <v>0</v>
      </c>
      <c r="I290" s="33">
        <f>F290*AP290</f>
        <v>0</v>
      </c>
      <c r="J290" s="33">
        <f>F290*G290</f>
        <v>0</v>
      </c>
      <c r="K290" s="6" t="s">
        <v>416</v>
      </c>
      <c r="Z290" s="33">
        <f>IF(AQ290="5",BJ290,0)</f>
        <v>0</v>
      </c>
      <c r="AB290" s="33">
        <f>IF(AQ290="1",BH290,0)</f>
        <v>0</v>
      </c>
      <c r="AC290" s="33">
        <f>IF(AQ290="1",BI290,0)</f>
        <v>0</v>
      </c>
      <c r="AD290" s="33">
        <f>IF(AQ290="7",BH290,0)</f>
        <v>0</v>
      </c>
      <c r="AE290" s="33">
        <f>IF(AQ290="7",BI290,0)</f>
        <v>0</v>
      </c>
      <c r="AF290" s="33">
        <f>IF(AQ290="2",BH290,0)</f>
        <v>0</v>
      </c>
      <c r="AG290" s="33">
        <f>IF(AQ290="2",BI290,0)</f>
        <v>0</v>
      </c>
      <c r="AH290" s="33">
        <f>IF(AQ290="0",BJ290,0)</f>
        <v>0</v>
      </c>
      <c r="AI290" s="21" t="s">
        <v>421</v>
      </c>
      <c r="AJ290" s="33">
        <f>IF(AN290=0,J290,0)</f>
        <v>0</v>
      </c>
      <c r="AK290" s="33">
        <f>IF(AN290=15,J290,0)</f>
        <v>0</v>
      </c>
      <c r="AL290" s="33">
        <f>IF(AN290=21,J290,0)</f>
        <v>0</v>
      </c>
      <c r="AN290" s="33">
        <v>21</v>
      </c>
      <c r="AO290" s="33">
        <f>G290*0</f>
        <v>0</v>
      </c>
      <c r="AP290" s="33">
        <f>G290*(1-0)</f>
        <v>0</v>
      </c>
      <c r="AQ290" s="51" t="s">
        <v>326</v>
      </c>
      <c r="AV290" s="33">
        <f>AW290+AX290</f>
        <v>0</v>
      </c>
      <c r="AW290" s="33">
        <f>F290*AO290</f>
        <v>0</v>
      </c>
      <c r="AX290" s="33">
        <f>F290*AP290</f>
        <v>0</v>
      </c>
      <c r="AY290" s="51" t="s">
        <v>254</v>
      </c>
      <c r="AZ290" s="51" t="s">
        <v>216</v>
      </c>
      <c r="BA290" s="21" t="s">
        <v>457</v>
      </c>
      <c r="BC290" s="33">
        <f>AW290+AX290</f>
        <v>0</v>
      </c>
      <c r="BD290" s="33">
        <f>G290/(100-BE290)*100</f>
        <v>0</v>
      </c>
      <c r="BE290" s="33">
        <v>0</v>
      </c>
      <c r="BF290" s="33">
        <f>290</f>
        <v>290</v>
      </c>
      <c r="BH290" s="33">
        <f>F290*AO290</f>
        <v>0</v>
      </c>
      <c r="BI290" s="33">
        <f>F290*AP290</f>
        <v>0</v>
      </c>
      <c r="BJ290" s="33">
        <f>F290*G290</f>
        <v>0</v>
      </c>
      <c r="BK290" s="33"/>
      <c r="BL290" s="33"/>
      <c r="BW290" s="33">
        <v>21</v>
      </c>
    </row>
    <row r="291" spans="1:75" ht="15" customHeight="1">
      <c r="A291" s="45"/>
      <c r="C291" s="13" t="s">
        <v>252</v>
      </c>
      <c r="D291" s="13" t="s">
        <v>421</v>
      </c>
      <c r="F291" s="49">
        <v>2.4712200000000002</v>
      </c>
      <c r="K291" s="7"/>
    </row>
    <row r="292" spans="1:75" ht="13.5" customHeight="1">
      <c r="A292" s="2" t="s">
        <v>387</v>
      </c>
      <c r="B292" s="5" t="s">
        <v>157</v>
      </c>
      <c r="C292" s="66" t="s">
        <v>72</v>
      </c>
      <c r="D292" s="63"/>
      <c r="E292" s="5" t="s">
        <v>286</v>
      </c>
      <c r="F292" s="33">
        <v>0.73899999999999999</v>
      </c>
      <c r="G292" s="33">
        <v>0</v>
      </c>
      <c r="H292" s="33">
        <f>F292*AO292</f>
        <v>0</v>
      </c>
      <c r="I292" s="33">
        <f>F292*AP292</f>
        <v>0</v>
      </c>
      <c r="J292" s="33">
        <f>F292*G292</f>
        <v>0</v>
      </c>
      <c r="K292" s="6" t="s">
        <v>277</v>
      </c>
      <c r="Z292" s="33">
        <f>IF(AQ292="5",BJ292,0)</f>
        <v>0</v>
      </c>
      <c r="AB292" s="33">
        <f>IF(AQ292="1",BH292,0)</f>
        <v>0</v>
      </c>
      <c r="AC292" s="33">
        <f>IF(AQ292="1",BI292,0)</f>
        <v>0</v>
      </c>
      <c r="AD292" s="33">
        <f>IF(AQ292="7",BH292,0)</f>
        <v>0</v>
      </c>
      <c r="AE292" s="33">
        <f>IF(AQ292="7",BI292,0)</f>
        <v>0</v>
      </c>
      <c r="AF292" s="33">
        <f>IF(AQ292="2",BH292,0)</f>
        <v>0</v>
      </c>
      <c r="AG292" s="33">
        <f>IF(AQ292="2",BI292,0)</f>
        <v>0</v>
      </c>
      <c r="AH292" s="33">
        <f>IF(AQ292="0",BJ292,0)</f>
        <v>0</v>
      </c>
      <c r="AI292" s="21" t="s">
        <v>421</v>
      </c>
      <c r="AJ292" s="33">
        <f>IF(AN292=0,J292,0)</f>
        <v>0</v>
      </c>
      <c r="AK292" s="33">
        <f>IF(AN292=15,J292,0)</f>
        <v>0</v>
      </c>
      <c r="AL292" s="33">
        <f>IF(AN292=21,J292,0)</f>
        <v>0</v>
      </c>
      <c r="AN292" s="33">
        <v>21</v>
      </c>
      <c r="AO292" s="33">
        <f>G292*0</f>
        <v>0</v>
      </c>
      <c r="AP292" s="33">
        <f>G292*(1-0)</f>
        <v>0</v>
      </c>
      <c r="AQ292" s="51" t="s">
        <v>326</v>
      </c>
      <c r="AV292" s="33">
        <f>AW292+AX292</f>
        <v>0</v>
      </c>
      <c r="AW292" s="33">
        <f>F292*AO292</f>
        <v>0</v>
      </c>
      <c r="AX292" s="33">
        <f>F292*AP292</f>
        <v>0</v>
      </c>
      <c r="AY292" s="51" t="s">
        <v>254</v>
      </c>
      <c r="AZ292" s="51" t="s">
        <v>216</v>
      </c>
      <c r="BA292" s="21" t="s">
        <v>457</v>
      </c>
      <c r="BC292" s="33">
        <f>AW292+AX292</f>
        <v>0</v>
      </c>
      <c r="BD292" s="33">
        <f>G292/(100-BE292)*100</f>
        <v>0</v>
      </c>
      <c r="BE292" s="33">
        <v>0</v>
      </c>
      <c r="BF292" s="33">
        <f>292</f>
        <v>292</v>
      </c>
      <c r="BH292" s="33">
        <f>F292*AO292</f>
        <v>0</v>
      </c>
      <c r="BI292" s="33">
        <f>F292*AP292</f>
        <v>0</v>
      </c>
      <c r="BJ292" s="33">
        <f>F292*G292</f>
        <v>0</v>
      </c>
      <c r="BK292" s="33"/>
      <c r="BL292" s="33"/>
      <c r="BW292" s="33">
        <v>21</v>
      </c>
    </row>
    <row r="293" spans="1:75" ht="15" customHeight="1">
      <c r="A293" s="45"/>
      <c r="C293" s="13" t="s">
        <v>224</v>
      </c>
      <c r="D293" s="13" t="s">
        <v>421</v>
      </c>
      <c r="F293" s="49">
        <v>0.7390000000000001</v>
      </c>
      <c r="K293" s="7"/>
    </row>
    <row r="294" spans="1:75" ht="13.5" customHeight="1">
      <c r="A294" s="2" t="s">
        <v>636</v>
      </c>
      <c r="B294" s="5" t="s">
        <v>221</v>
      </c>
      <c r="C294" s="66" t="s">
        <v>202</v>
      </c>
      <c r="D294" s="63"/>
      <c r="E294" s="5" t="s">
        <v>286</v>
      </c>
      <c r="F294" s="33">
        <v>0.73899999999999999</v>
      </c>
      <c r="G294" s="33">
        <v>0</v>
      </c>
      <c r="H294" s="33">
        <f>F294*AO294</f>
        <v>0</v>
      </c>
      <c r="I294" s="33">
        <f>F294*AP294</f>
        <v>0</v>
      </c>
      <c r="J294" s="33">
        <f>F294*G294</f>
        <v>0</v>
      </c>
      <c r="K294" s="6" t="s">
        <v>277</v>
      </c>
      <c r="Z294" s="33">
        <f>IF(AQ294="5",BJ294,0)</f>
        <v>0</v>
      </c>
      <c r="AB294" s="33">
        <f>IF(AQ294="1",BH294,0)</f>
        <v>0</v>
      </c>
      <c r="AC294" s="33">
        <f>IF(AQ294="1",BI294,0)</f>
        <v>0</v>
      </c>
      <c r="AD294" s="33">
        <f>IF(AQ294="7",BH294,0)</f>
        <v>0</v>
      </c>
      <c r="AE294" s="33">
        <f>IF(AQ294="7",BI294,0)</f>
        <v>0</v>
      </c>
      <c r="AF294" s="33">
        <f>IF(AQ294="2",BH294,0)</f>
        <v>0</v>
      </c>
      <c r="AG294" s="33">
        <f>IF(AQ294="2",BI294,0)</f>
        <v>0</v>
      </c>
      <c r="AH294" s="33">
        <f>IF(AQ294="0",BJ294,0)</f>
        <v>0</v>
      </c>
      <c r="AI294" s="21" t="s">
        <v>421</v>
      </c>
      <c r="AJ294" s="33">
        <f>IF(AN294=0,J294,0)</f>
        <v>0</v>
      </c>
      <c r="AK294" s="33">
        <f>IF(AN294=15,J294,0)</f>
        <v>0</v>
      </c>
      <c r="AL294" s="33">
        <f>IF(AN294=21,J294,0)</f>
        <v>0</v>
      </c>
      <c r="AN294" s="33">
        <v>21</v>
      </c>
      <c r="AO294" s="33">
        <f>G294*0</f>
        <v>0</v>
      </c>
      <c r="AP294" s="33">
        <f>G294*(1-0)</f>
        <v>0</v>
      </c>
      <c r="AQ294" s="51" t="s">
        <v>326</v>
      </c>
      <c r="AV294" s="33">
        <f>AW294+AX294</f>
        <v>0</v>
      </c>
      <c r="AW294" s="33">
        <f>F294*AO294</f>
        <v>0</v>
      </c>
      <c r="AX294" s="33">
        <f>F294*AP294</f>
        <v>0</v>
      </c>
      <c r="AY294" s="51" t="s">
        <v>254</v>
      </c>
      <c r="AZ294" s="51" t="s">
        <v>216</v>
      </c>
      <c r="BA294" s="21" t="s">
        <v>457</v>
      </c>
      <c r="BC294" s="33">
        <f>AW294+AX294</f>
        <v>0</v>
      </c>
      <c r="BD294" s="33">
        <f>G294/(100-BE294)*100</f>
        <v>0</v>
      </c>
      <c r="BE294" s="33">
        <v>0</v>
      </c>
      <c r="BF294" s="33">
        <f>294</f>
        <v>294</v>
      </c>
      <c r="BH294" s="33">
        <f>F294*AO294</f>
        <v>0</v>
      </c>
      <c r="BI294" s="33">
        <f>F294*AP294</f>
        <v>0</v>
      </c>
      <c r="BJ294" s="33">
        <f>F294*G294</f>
        <v>0</v>
      </c>
      <c r="BK294" s="33"/>
      <c r="BL294" s="33"/>
      <c r="BW294" s="33">
        <v>21</v>
      </c>
    </row>
    <row r="295" spans="1:75" ht="15" customHeight="1">
      <c r="A295" s="45"/>
      <c r="C295" s="13" t="s">
        <v>154</v>
      </c>
      <c r="D295" s="13" t="s">
        <v>421</v>
      </c>
      <c r="F295" s="49">
        <v>0.7390000000000001</v>
      </c>
      <c r="K295" s="7"/>
    </row>
    <row r="296" spans="1:75" ht="15" customHeight="1">
      <c r="A296" s="54" t="s">
        <v>421</v>
      </c>
      <c r="B296" s="22" t="s">
        <v>126</v>
      </c>
      <c r="C296" s="79" t="s">
        <v>303</v>
      </c>
      <c r="D296" s="80"/>
      <c r="E296" s="3" t="s">
        <v>544</v>
      </c>
      <c r="F296" s="3" t="s">
        <v>544</v>
      </c>
      <c r="G296" s="3" t="s">
        <v>544</v>
      </c>
      <c r="H296" s="35">
        <f>SUM(H297:H299)</f>
        <v>0</v>
      </c>
      <c r="I296" s="35">
        <f>SUM(I297:I299)</f>
        <v>0</v>
      </c>
      <c r="J296" s="35">
        <f>SUM(J297:J299)</f>
        <v>0</v>
      </c>
      <c r="K296" s="16" t="s">
        <v>421</v>
      </c>
      <c r="AI296" s="21" t="s">
        <v>421</v>
      </c>
      <c r="AS296" s="35">
        <f>SUM(AJ297:AJ299)</f>
        <v>0</v>
      </c>
      <c r="AT296" s="35">
        <f>SUM(AK297:AK299)</f>
        <v>0</v>
      </c>
      <c r="AU296" s="35">
        <f>SUM(AL297:AL299)</f>
        <v>0</v>
      </c>
    </row>
    <row r="297" spans="1:75" ht="13.5" customHeight="1">
      <c r="A297" s="2" t="s">
        <v>427</v>
      </c>
      <c r="B297" s="5" t="s">
        <v>318</v>
      </c>
      <c r="C297" s="66" t="s">
        <v>59</v>
      </c>
      <c r="D297" s="63"/>
      <c r="E297" s="5" t="s">
        <v>517</v>
      </c>
      <c r="F297" s="33">
        <v>3.25</v>
      </c>
      <c r="G297" s="33">
        <v>0</v>
      </c>
      <c r="H297" s="33">
        <f>F297*AO297</f>
        <v>0</v>
      </c>
      <c r="I297" s="33">
        <f>F297*AP297</f>
        <v>0</v>
      </c>
      <c r="J297" s="33">
        <f>F297*G297</f>
        <v>0</v>
      </c>
      <c r="K297" s="6" t="s">
        <v>421</v>
      </c>
      <c r="Z297" s="33">
        <f>IF(AQ297="5",BJ297,0)</f>
        <v>0</v>
      </c>
      <c r="AB297" s="33">
        <f>IF(AQ297="1",BH297,0)</f>
        <v>0</v>
      </c>
      <c r="AC297" s="33">
        <f>IF(AQ297="1",BI297,0)</f>
        <v>0</v>
      </c>
      <c r="AD297" s="33">
        <f>IF(AQ297="7",BH297,0)</f>
        <v>0</v>
      </c>
      <c r="AE297" s="33">
        <f>IF(AQ297="7",BI297,0)</f>
        <v>0</v>
      </c>
      <c r="AF297" s="33">
        <f>IF(AQ297="2",BH297,0)</f>
        <v>0</v>
      </c>
      <c r="AG297" s="33">
        <f>IF(AQ297="2",BI297,0)</f>
        <v>0</v>
      </c>
      <c r="AH297" s="33">
        <f>IF(AQ297="0",BJ297,0)</f>
        <v>0</v>
      </c>
      <c r="AI297" s="21" t="s">
        <v>421</v>
      </c>
      <c r="AJ297" s="33">
        <f>IF(AN297=0,J297,0)</f>
        <v>0</v>
      </c>
      <c r="AK297" s="33">
        <f>IF(AN297=15,J297,0)</f>
        <v>0</v>
      </c>
      <c r="AL297" s="33">
        <f>IF(AN297=21,J297,0)</f>
        <v>0</v>
      </c>
      <c r="AN297" s="33">
        <v>21</v>
      </c>
      <c r="AO297" s="33">
        <f>G297*0</f>
        <v>0</v>
      </c>
      <c r="AP297" s="33">
        <f>G297*(1-0)</f>
        <v>0</v>
      </c>
      <c r="AQ297" s="51" t="s">
        <v>578</v>
      </c>
      <c r="AV297" s="33">
        <f>AW297+AX297</f>
        <v>0</v>
      </c>
      <c r="AW297" s="33">
        <f>F297*AO297</f>
        <v>0</v>
      </c>
      <c r="AX297" s="33">
        <f>F297*AP297</f>
        <v>0</v>
      </c>
      <c r="AY297" s="51" t="s">
        <v>92</v>
      </c>
      <c r="AZ297" s="51" t="s">
        <v>522</v>
      </c>
      <c r="BA297" s="21" t="s">
        <v>457</v>
      </c>
      <c r="BC297" s="33">
        <f>AW297+AX297</f>
        <v>0</v>
      </c>
      <c r="BD297" s="33">
        <f>G297/(100-BE297)*100</f>
        <v>0</v>
      </c>
      <c r="BE297" s="33">
        <v>0</v>
      </c>
      <c r="BF297" s="33">
        <f>297</f>
        <v>297</v>
      </c>
      <c r="BH297" s="33">
        <f>F297*AO297</f>
        <v>0</v>
      </c>
      <c r="BI297" s="33">
        <f>F297*AP297</f>
        <v>0</v>
      </c>
      <c r="BJ297" s="33">
        <f>F297*G297</f>
        <v>0</v>
      </c>
      <c r="BK297" s="33"/>
      <c r="BL297" s="33"/>
      <c r="BW297" s="33">
        <v>21</v>
      </c>
    </row>
    <row r="298" spans="1:75" ht="13.5" customHeight="1">
      <c r="A298" s="2" t="s">
        <v>643</v>
      </c>
      <c r="B298" s="5" t="s">
        <v>82</v>
      </c>
      <c r="C298" s="66" t="s">
        <v>560</v>
      </c>
      <c r="D298" s="63"/>
      <c r="E298" s="5" t="s">
        <v>517</v>
      </c>
      <c r="F298" s="33">
        <v>2.35</v>
      </c>
      <c r="G298" s="33">
        <v>0</v>
      </c>
      <c r="H298" s="33">
        <f>F298*AO298</f>
        <v>0</v>
      </c>
      <c r="I298" s="33">
        <f>F298*AP298</f>
        <v>0</v>
      </c>
      <c r="J298" s="33">
        <f>F298*G298</f>
        <v>0</v>
      </c>
      <c r="K298" s="6" t="s">
        <v>421</v>
      </c>
      <c r="Z298" s="33">
        <f>IF(AQ298="5",BJ298,0)</f>
        <v>0</v>
      </c>
      <c r="AB298" s="33">
        <f>IF(AQ298="1",BH298,0)</f>
        <v>0</v>
      </c>
      <c r="AC298" s="33">
        <f>IF(AQ298="1",BI298,0)</f>
        <v>0</v>
      </c>
      <c r="AD298" s="33">
        <f>IF(AQ298="7",BH298,0)</f>
        <v>0</v>
      </c>
      <c r="AE298" s="33">
        <f>IF(AQ298="7",BI298,0)</f>
        <v>0</v>
      </c>
      <c r="AF298" s="33">
        <f>IF(AQ298="2",BH298,0)</f>
        <v>0</v>
      </c>
      <c r="AG298" s="33">
        <f>IF(AQ298="2",BI298,0)</f>
        <v>0</v>
      </c>
      <c r="AH298" s="33">
        <f>IF(AQ298="0",BJ298,0)</f>
        <v>0</v>
      </c>
      <c r="AI298" s="21" t="s">
        <v>421</v>
      </c>
      <c r="AJ298" s="33">
        <f>IF(AN298=0,J298,0)</f>
        <v>0</v>
      </c>
      <c r="AK298" s="33">
        <f>IF(AN298=15,J298,0)</f>
        <v>0</v>
      </c>
      <c r="AL298" s="33">
        <f>IF(AN298=21,J298,0)</f>
        <v>0</v>
      </c>
      <c r="AN298" s="33">
        <v>21</v>
      </c>
      <c r="AO298" s="33">
        <f>G298*0</f>
        <v>0</v>
      </c>
      <c r="AP298" s="33">
        <f>G298*(1-0)</f>
        <v>0</v>
      </c>
      <c r="AQ298" s="51" t="s">
        <v>578</v>
      </c>
      <c r="AV298" s="33">
        <f>AW298+AX298</f>
        <v>0</v>
      </c>
      <c r="AW298" s="33">
        <f>F298*AO298</f>
        <v>0</v>
      </c>
      <c r="AX298" s="33">
        <f>F298*AP298</f>
        <v>0</v>
      </c>
      <c r="AY298" s="51" t="s">
        <v>92</v>
      </c>
      <c r="AZ298" s="51" t="s">
        <v>522</v>
      </c>
      <c r="BA298" s="21" t="s">
        <v>457</v>
      </c>
      <c r="BC298" s="33">
        <f>AW298+AX298</f>
        <v>0</v>
      </c>
      <c r="BD298" s="33">
        <f>G298/(100-BE298)*100</f>
        <v>0</v>
      </c>
      <c r="BE298" s="33">
        <v>0</v>
      </c>
      <c r="BF298" s="33">
        <f>298</f>
        <v>298</v>
      </c>
      <c r="BH298" s="33">
        <f>F298*AO298</f>
        <v>0</v>
      </c>
      <c r="BI298" s="33">
        <f>F298*AP298</f>
        <v>0</v>
      </c>
      <c r="BJ298" s="33">
        <f>F298*G298</f>
        <v>0</v>
      </c>
      <c r="BK298" s="33"/>
      <c r="BL298" s="33"/>
      <c r="BW298" s="33">
        <v>21</v>
      </c>
    </row>
    <row r="299" spans="1:75" ht="13.5" customHeight="1">
      <c r="A299" s="34" t="s">
        <v>597</v>
      </c>
      <c r="B299" s="4" t="s">
        <v>269</v>
      </c>
      <c r="C299" s="81" t="s">
        <v>325</v>
      </c>
      <c r="D299" s="82"/>
      <c r="E299" s="4" t="s">
        <v>517</v>
      </c>
      <c r="F299" s="40">
        <v>1.6</v>
      </c>
      <c r="G299" s="40">
        <v>0</v>
      </c>
      <c r="H299" s="40">
        <f>F299*AO299</f>
        <v>0</v>
      </c>
      <c r="I299" s="40">
        <f>F299*AP299</f>
        <v>0</v>
      </c>
      <c r="J299" s="40">
        <f>F299*G299</f>
        <v>0</v>
      </c>
      <c r="K299" s="17" t="s">
        <v>421</v>
      </c>
      <c r="Z299" s="33">
        <f>IF(AQ299="5",BJ299,0)</f>
        <v>0</v>
      </c>
      <c r="AB299" s="33">
        <f>IF(AQ299="1",BH299,0)</f>
        <v>0</v>
      </c>
      <c r="AC299" s="33">
        <f>IF(AQ299="1",BI299,0)</f>
        <v>0</v>
      </c>
      <c r="AD299" s="33">
        <f>IF(AQ299="7",BH299,0)</f>
        <v>0</v>
      </c>
      <c r="AE299" s="33">
        <f>IF(AQ299="7",BI299,0)</f>
        <v>0</v>
      </c>
      <c r="AF299" s="33">
        <f>IF(AQ299="2",BH299,0)</f>
        <v>0</v>
      </c>
      <c r="AG299" s="33">
        <f>IF(AQ299="2",BI299,0)</f>
        <v>0</v>
      </c>
      <c r="AH299" s="33">
        <f>IF(AQ299="0",BJ299,0)</f>
        <v>0</v>
      </c>
      <c r="AI299" s="21" t="s">
        <v>421</v>
      </c>
      <c r="AJ299" s="33">
        <f>IF(AN299=0,J299,0)</f>
        <v>0</v>
      </c>
      <c r="AK299" s="33">
        <f>IF(AN299=15,J299,0)</f>
        <v>0</v>
      </c>
      <c r="AL299" s="33">
        <f>IF(AN299=21,J299,0)</f>
        <v>0</v>
      </c>
      <c r="AN299" s="33">
        <v>21</v>
      </c>
      <c r="AO299" s="33">
        <f>G299*0</f>
        <v>0</v>
      </c>
      <c r="AP299" s="33">
        <f>G299*(1-0)</f>
        <v>0</v>
      </c>
      <c r="AQ299" s="51" t="s">
        <v>578</v>
      </c>
      <c r="AV299" s="33">
        <f>AW299+AX299</f>
        <v>0</v>
      </c>
      <c r="AW299" s="33">
        <f>F299*AO299</f>
        <v>0</v>
      </c>
      <c r="AX299" s="33">
        <f>F299*AP299</f>
        <v>0</v>
      </c>
      <c r="AY299" s="51" t="s">
        <v>92</v>
      </c>
      <c r="AZ299" s="51" t="s">
        <v>522</v>
      </c>
      <c r="BA299" s="21" t="s">
        <v>457</v>
      </c>
      <c r="BC299" s="33">
        <f>AW299+AX299</f>
        <v>0</v>
      </c>
      <c r="BD299" s="33">
        <f>G299/(100-BE299)*100</f>
        <v>0</v>
      </c>
      <c r="BE299" s="33">
        <v>0</v>
      </c>
      <c r="BF299" s="33">
        <f>299</f>
        <v>299</v>
      </c>
      <c r="BH299" s="33">
        <f>F299*AO299</f>
        <v>0</v>
      </c>
      <c r="BI299" s="33">
        <f>F299*AP299</f>
        <v>0</v>
      </c>
      <c r="BJ299" s="33">
        <f>F299*G299</f>
        <v>0</v>
      </c>
      <c r="BK299" s="33"/>
      <c r="BL299" s="33"/>
      <c r="BW299" s="33">
        <v>21</v>
      </c>
    </row>
    <row r="300" spans="1:75" ht="15" customHeight="1">
      <c r="H300" s="69" t="s">
        <v>470</v>
      </c>
      <c r="I300" s="69"/>
      <c r="J300" s="53">
        <f>J12+J17+J24+J37+J52+J77+J98+J101+J110+J115+J120+J123+J132+J135+J139+J142+J158+J163+J176+J183+J218+J236+J241+J248+J251+J255+J262+J265+J268+J271+J274+J280+J283+J296</f>
        <v>0</v>
      </c>
    </row>
    <row r="301" spans="1:75" ht="15" customHeight="1">
      <c r="A301" s="43" t="s">
        <v>48</v>
      </c>
    </row>
    <row r="302" spans="1:75" ht="12.75" customHeight="1">
      <c r="A302" s="66" t="s">
        <v>421</v>
      </c>
      <c r="B302" s="63"/>
      <c r="C302" s="63"/>
      <c r="D302" s="63"/>
      <c r="E302" s="63"/>
      <c r="F302" s="63"/>
      <c r="G302" s="63"/>
      <c r="H302" s="63"/>
      <c r="I302" s="63"/>
      <c r="J302" s="63"/>
      <c r="K302" s="63"/>
    </row>
  </sheetData>
  <mergeCells count="178">
    <mergeCell ref="H300:I300"/>
    <mergeCell ref="A302:K302"/>
    <mergeCell ref="C292:D292"/>
    <mergeCell ref="C294:D294"/>
    <mergeCell ref="C296:D296"/>
    <mergeCell ref="C297:D297"/>
    <mergeCell ref="C298:D298"/>
    <mergeCell ref="C299:D299"/>
    <mergeCell ref="C281:D281"/>
    <mergeCell ref="C283:D283"/>
    <mergeCell ref="C284:D284"/>
    <mergeCell ref="C286:D286"/>
    <mergeCell ref="C288:D288"/>
    <mergeCell ref="C290:D290"/>
    <mergeCell ref="C272:D272"/>
    <mergeCell ref="C274:D274"/>
    <mergeCell ref="C275:D275"/>
    <mergeCell ref="C278:D278"/>
    <mergeCell ref="C279:D279"/>
    <mergeCell ref="C280:D280"/>
    <mergeCell ref="C263:D263"/>
    <mergeCell ref="C265:D265"/>
    <mergeCell ref="C266:D266"/>
    <mergeCell ref="C268:D268"/>
    <mergeCell ref="C269:D269"/>
    <mergeCell ref="C271:D271"/>
    <mergeCell ref="C249:D249"/>
    <mergeCell ref="C251:D251"/>
    <mergeCell ref="C252:D252"/>
    <mergeCell ref="C255:D255"/>
    <mergeCell ref="C256:D256"/>
    <mergeCell ref="C262:D262"/>
    <mergeCell ref="C239:D239"/>
    <mergeCell ref="C241:D241"/>
    <mergeCell ref="C242:D242"/>
    <mergeCell ref="C244:D244"/>
    <mergeCell ref="C246:D246"/>
    <mergeCell ref="C248:D248"/>
    <mergeCell ref="C227:D227"/>
    <mergeCell ref="C229:D229"/>
    <mergeCell ref="C232:D232"/>
    <mergeCell ref="C234:D234"/>
    <mergeCell ref="C236:D236"/>
    <mergeCell ref="C237:D237"/>
    <mergeCell ref="C217:D217"/>
    <mergeCell ref="C218:D218"/>
    <mergeCell ref="C219:D219"/>
    <mergeCell ref="C221:D221"/>
    <mergeCell ref="C223:D223"/>
    <mergeCell ref="C225:D225"/>
    <mergeCell ref="C207:D207"/>
    <mergeCell ref="C208:D208"/>
    <mergeCell ref="C211:D211"/>
    <mergeCell ref="C212:D212"/>
    <mergeCell ref="C213:D213"/>
    <mergeCell ref="C216:D216"/>
    <mergeCell ref="C201:D201"/>
    <mergeCell ref="C202:D202"/>
    <mergeCell ref="C203:D203"/>
    <mergeCell ref="C204:D204"/>
    <mergeCell ref="C205:D205"/>
    <mergeCell ref="C206:D206"/>
    <mergeCell ref="C184:D184"/>
    <mergeCell ref="C189:D189"/>
    <mergeCell ref="C190:D190"/>
    <mergeCell ref="C191:D191"/>
    <mergeCell ref="C192:D192"/>
    <mergeCell ref="C193:D193"/>
    <mergeCell ref="C172:D172"/>
    <mergeCell ref="C174:D174"/>
    <mergeCell ref="C176:D176"/>
    <mergeCell ref="C177:D177"/>
    <mergeCell ref="C181:D181"/>
    <mergeCell ref="C183:D183"/>
    <mergeCell ref="C159:D159"/>
    <mergeCell ref="C163:D163"/>
    <mergeCell ref="C164:D164"/>
    <mergeCell ref="C166:D166"/>
    <mergeCell ref="C168:D168"/>
    <mergeCell ref="C170:D170"/>
    <mergeCell ref="C143:D143"/>
    <mergeCell ref="C147:D147"/>
    <mergeCell ref="C150:D150"/>
    <mergeCell ref="C153:D153"/>
    <mergeCell ref="C155:D155"/>
    <mergeCell ref="C158:D158"/>
    <mergeCell ref="C133:D133"/>
    <mergeCell ref="C135:D135"/>
    <mergeCell ref="C136:D136"/>
    <mergeCell ref="C139:D139"/>
    <mergeCell ref="C140:D140"/>
    <mergeCell ref="C142:D142"/>
    <mergeCell ref="C120:D120"/>
    <mergeCell ref="C121:D121"/>
    <mergeCell ref="C123:D123"/>
    <mergeCell ref="C124:D124"/>
    <mergeCell ref="C128:D128"/>
    <mergeCell ref="C132:D132"/>
    <mergeCell ref="C110:D110"/>
    <mergeCell ref="C111:D111"/>
    <mergeCell ref="C113:D113"/>
    <mergeCell ref="C115:D115"/>
    <mergeCell ref="C116:D116"/>
    <mergeCell ref="C118:D118"/>
    <mergeCell ref="C99:D99"/>
    <mergeCell ref="C101:D101"/>
    <mergeCell ref="C102:D102"/>
    <mergeCell ref="C104:D104"/>
    <mergeCell ref="C106:D106"/>
    <mergeCell ref="C108:D108"/>
    <mergeCell ref="C84:D84"/>
    <mergeCell ref="C88:D88"/>
    <mergeCell ref="C92:D92"/>
    <mergeCell ref="C94:D94"/>
    <mergeCell ref="C96:D96"/>
    <mergeCell ref="C98:D98"/>
    <mergeCell ref="C67:D67"/>
    <mergeCell ref="C69:D69"/>
    <mergeCell ref="C73:D73"/>
    <mergeCell ref="C75:D75"/>
    <mergeCell ref="C77:D77"/>
    <mergeCell ref="C78:D78"/>
    <mergeCell ref="C52:D52"/>
    <mergeCell ref="C53:D53"/>
    <mergeCell ref="C56:D56"/>
    <mergeCell ref="C59:D59"/>
    <mergeCell ref="C62:D62"/>
    <mergeCell ref="C64:D64"/>
    <mergeCell ref="C40:D40"/>
    <mergeCell ref="C42:D42"/>
    <mergeCell ref="C44:D44"/>
    <mergeCell ref="C46:D46"/>
    <mergeCell ref="C48:D48"/>
    <mergeCell ref="C50:D50"/>
    <mergeCell ref="C29:D29"/>
    <mergeCell ref="C31:D31"/>
    <mergeCell ref="C33:D33"/>
    <mergeCell ref="C35:D35"/>
    <mergeCell ref="C37:D37"/>
    <mergeCell ref="C38:D38"/>
    <mergeCell ref="C18:D18"/>
    <mergeCell ref="C20:D20"/>
    <mergeCell ref="C22:D22"/>
    <mergeCell ref="C24:D24"/>
    <mergeCell ref="C25:D25"/>
    <mergeCell ref="C27:D27"/>
    <mergeCell ref="C11:D11"/>
    <mergeCell ref="H10:J10"/>
    <mergeCell ref="C12:D12"/>
    <mergeCell ref="C13:D13"/>
    <mergeCell ref="C15:D15"/>
    <mergeCell ref="C17:D17"/>
    <mergeCell ref="G8:G9"/>
    <mergeCell ref="I2:K3"/>
    <mergeCell ref="I4:K5"/>
    <mergeCell ref="I6:K7"/>
    <mergeCell ref="I8:K9"/>
    <mergeCell ref="C10:D10"/>
    <mergeCell ref="H4:H5"/>
    <mergeCell ref="H6:H7"/>
    <mergeCell ref="H8:H9"/>
    <mergeCell ref="C2:D3"/>
    <mergeCell ref="C4:D5"/>
    <mergeCell ref="C6:D7"/>
    <mergeCell ref="C8:D9"/>
    <mergeCell ref="G2:G3"/>
    <mergeCell ref="G4:G5"/>
    <mergeCell ref="G6:G7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37"/>
  <sheetViews>
    <sheetView showOutlineSymbols="0" workbookViewId="0">
      <selection activeCell="A37" sqref="A37:I37"/>
    </sheetView>
  </sheetViews>
  <sheetFormatPr defaultColWidth="14.1640625" defaultRowHeight="15" customHeight="1"/>
  <cols>
    <col min="1" max="1" width="10.6640625"/>
    <col min="2" max="2" width="15"/>
    <col min="3" max="3" width="31.6640625"/>
    <col min="4" max="4" width="11.6640625"/>
    <col min="5" max="5" width="16.33203125"/>
    <col min="6" max="6" width="31.6640625"/>
    <col min="7" max="7" width="10.6640625"/>
    <col min="8" max="8" width="15"/>
    <col min="9" max="9" width="31.6640625"/>
  </cols>
  <sheetData>
    <row r="1" spans="1:9" ht="54.75" customHeight="1">
      <c r="A1" s="83" t="s">
        <v>139</v>
      </c>
      <c r="B1" s="59"/>
      <c r="C1" s="59"/>
      <c r="D1" s="59"/>
      <c r="E1" s="59"/>
      <c r="F1" s="59"/>
      <c r="G1" s="59"/>
      <c r="H1" s="59"/>
      <c r="I1" s="59"/>
    </row>
    <row r="2" spans="1:9" ht="15" customHeight="1">
      <c r="A2" s="60" t="s">
        <v>38</v>
      </c>
      <c r="B2" s="61"/>
      <c r="C2" s="67" t="str">
        <f>'Stavební rozpočet'!C2</f>
        <v>NOVÁ PŘÍPOJKA TERMÁLNÍ VODY PRO AQUACENTRUM TEPLICE</v>
      </c>
      <c r="D2" s="68"/>
      <c r="E2" s="65" t="s">
        <v>500</v>
      </c>
      <c r="F2" s="65" t="str">
        <f>'Stavební rozpočet'!I2</f>
        <v>AQUACENTRUM p.o., TEPLICE</v>
      </c>
      <c r="G2" s="61"/>
      <c r="H2" s="65" t="s">
        <v>394</v>
      </c>
      <c r="I2" s="70" t="s">
        <v>421</v>
      </c>
    </row>
    <row r="3" spans="1:9" ht="15" customHeight="1">
      <c r="A3" s="62"/>
      <c r="B3" s="63"/>
      <c r="C3" s="69"/>
      <c r="D3" s="69"/>
      <c r="E3" s="63"/>
      <c r="F3" s="63"/>
      <c r="G3" s="63"/>
      <c r="H3" s="63"/>
      <c r="I3" s="71"/>
    </row>
    <row r="4" spans="1:9" ht="15" customHeight="1">
      <c r="A4" s="64" t="s">
        <v>333</v>
      </c>
      <c r="B4" s="63"/>
      <c r="C4" s="66" t="str">
        <f>'Stavební rozpočet'!C4</f>
        <v>SO 01 - OTV z LDB do ČS</v>
      </c>
      <c r="D4" s="63"/>
      <c r="E4" s="66" t="s">
        <v>420</v>
      </c>
      <c r="F4" s="66" t="str">
        <f>'Stavební rozpočet'!I4</f>
        <v>CHEMINVEST</v>
      </c>
      <c r="G4" s="63"/>
      <c r="H4" s="66" t="s">
        <v>394</v>
      </c>
      <c r="I4" s="71" t="s">
        <v>421</v>
      </c>
    </row>
    <row r="5" spans="1:9" ht="15" customHeight="1">
      <c r="A5" s="62"/>
      <c r="B5" s="63"/>
      <c r="C5" s="63"/>
      <c r="D5" s="63"/>
      <c r="E5" s="63"/>
      <c r="F5" s="63"/>
      <c r="G5" s="63"/>
      <c r="H5" s="63"/>
      <c r="I5" s="71"/>
    </row>
    <row r="6" spans="1:9" ht="15" customHeight="1">
      <c r="A6" s="64" t="s">
        <v>50</v>
      </c>
      <c r="B6" s="63"/>
      <c r="C6" s="66" t="str">
        <f>'Stavební rozpočet'!C6</f>
        <v>AQUACENTRUM TEPLICE</v>
      </c>
      <c r="D6" s="63"/>
      <c r="E6" s="66" t="s">
        <v>516</v>
      </c>
      <c r="F6" s="66" t="str">
        <f>'Stavební rozpočet'!I6</f>
        <v> </v>
      </c>
      <c r="G6" s="63"/>
      <c r="H6" s="66" t="s">
        <v>394</v>
      </c>
      <c r="I6" s="71" t="s">
        <v>421</v>
      </c>
    </row>
    <row r="7" spans="1:9" ht="15" customHeight="1">
      <c r="A7" s="62"/>
      <c r="B7" s="63"/>
      <c r="C7" s="63"/>
      <c r="D7" s="63"/>
      <c r="E7" s="63"/>
      <c r="F7" s="63"/>
      <c r="G7" s="63"/>
      <c r="H7" s="63"/>
      <c r="I7" s="71"/>
    </row>
    <row r="8" spans="1:9" ht="15" customHeight="1">
      <c r="A8" s="64" t="s">
        <v>525</v>
      </c>
      <c r="B8" s="63"/>
      <c r="C8" s="66" t="str">
        <f>'Stavební rozpočet'!G4</f>
        <v>23.01.2023</v>
      </c>
      <c r="D8" s="63"/>
      <c r="E8" s="66" t="s">
        <v>190</v>
      </c>
      <c r="F8" s="66" t="str">
        <f>'Stavební rozpočet'!G6</f>
        <v xml:space="preserve"> </v>
      </c>
      <c r="G8" s="63"/>
      <c r="H8" s="63" t="s">
        <v>589</v>
      </c>
      <c r="I8" s="85">
        <v>114</v>
      </c>
    </row>
    <row r="9" spans="1:9" ht="15" customHeight="1">
      <c r="A9" s="62"/>
      <c r="B9" s="63"/>
      <c r="C9" s="63"/>
      <c r="D9" s="63"/>
      <c r="E9" s="63"/>
      <c r="F9" s="63"/>
      <c r="G9" s="63"/>
      <c r="H9" s="63"/>
      <c r="I9" s="71"/>
    </row>
    <row r="10" spans="1:9" ht="15" customHeight="1">
      <c r="A10" s="64" t="s">
        <v>297</v>
      </c>
      <c r="B10" s="63"/>
      <c r="C10" s="66" t="str">
        <f>'Stavební rozpočet'!C8</f>
        <v xml:space="preserve"> </v>
      </c>
      <c r="D10" s="63"/>
      <c r="E10" s="66" t="s">
        <v>404</v>
      </c>
      <c r="F10" s="66" t="str">
        <f>'Stavební rozpočet'!I8</f>
        <v>Kamila Možná</v>
      </c>
      <c r="G10" s="63"/>
      <c r="H10" s="63" t="s">
        <v>564</v>
      </c>
      <c r="I10" s="86" t="str">
        <f>'Stavební rozpočet'!G8</f>
        <v>11.12.2023</v>
      </c>
    </row>
    <row r="11" spans="1:9" ht="15" customHeight="1">
      <c r="A11" s="84"/>
      <c r="B11" s="82"/>
      <c r="C11" s="82"/>
      <c r="D11" s="82"/>
      <c r="E11" s="82"/>
      <c r="F11" s="82"/>
      <c r="G11" s="82"/>
      <c r="H11" s="82"/>
      <c r="I11" s="87"/>
    </row>
    <row r="12" spans="1:9" ht="22.5" customHeight="1">
      <c r="A12" s="88" t="s">
        <v>99</v>
      </c>
      <c r="B12" s="88"/>
      <c r="C12" s="88"/>
      <c r="D12" s="88"/>
      <c r="E12" s="88"/>
      <c r="F12" s="88"/>
      <c r="G12" s="88"/>
      <c r="H12" s="88"/>
      <c r="I12" s="88"/>
    </row>
    <row r="13" spans="1:9" ht="26.25" customHeight="1">
      <c r="A13" s="56" t="s">
        <v>528</v>
      </c>
      <c r="B13" s="89" t="s">
        <v>75</v>
      </c>
      <c r="C13" s="90"/>
      <c r="D13" s="32" t="s">
        <v>109</v>
      </c>
      <c r="E13" s="89" t="s">
        <v>219</v>
      </c>
      <c r="F13" s="90"/>
      <c r="G13" s="32" t="s">
        <v>385</v>
      </c>
      <c r="H13" s="89" t="s">
        <v>110</v>
      </c>
      <c r="I13" s="90"/>
    </row>
    <row r="14" spans="1:9" ht="15" customHeight="1">
      <c r="A14" s="23" t="s">
        <v>226</v>
      </c>
      <c r="B14" s="29" t="s">
        <v>150</v>
      </c>
      <c r="C14" s="24">
        <f>SUM('Stavební rozpočet'!AB12:AB299)</f>
        <v>0</v>
      </c>
      <c r="D14" s="97" t="s">
        <v>435</v>
      </c>
      <c r="E14" s="98"/>
      <c r="F14" s="24">
        <f>VORN!I15</f>
        <v>0</v>
      </c>
      <c r="G14" s="97" t="s">
        <v>59</v>
      </c>
      <c r="H14" s="98"/>
      <c r="I14" s="25">
        <f>VORN!I21</f>
        <v>0</v>
      </c>
    </row>
    <row r="15" spans="1:9" ht="15" customHeight="1">
      <c r="A15" s="30" t="s">
        <v>421</v>
      </c>
      <c r="B15" s="29" t="s">
        <v>117</v>
      </c>
      <c r="C15" s="24">
        <f>SUM('Stavební rozpočet'!AC12:AC299)</f>
        <v>0</v>
      </c>
      <c r="D15" s="97" t="s">
        <v>57</v>
      </c>
      <c r="E15" s="98"/>
      <c r="F15" s="24">
        <f>VORN!I16</f>
        <v>0</v>
      </c>
      <c r="G15" s="97" t="s">
        <v>471</v>
      </c>
      <c r="H15" s="98"/>
      <c r="I15" s="25">
        <f>VORN!I22</f>
        <v>0</v>
      </c>
    </row>
    <row r="16" spans="1:9" ht="15" customHeight="1">
      <c r="A16" s="23" t="s">
        <v>54</v>
      </c>
      <c r="B16" s="29" t="s">
        <v>150</v>
      </c>
      <c r="C16" s="24">
        <f>SUM('Stavební rozpočet'!AD12:AD299)</f>
        <v>0</v>
      </c>
      <c r="D16" s="97" t="s">
        <v>446</v>
      </c>
      <c r="E16" s="98"/>
      <c r="F16" s="24">
        <f>VORN!I17</f>
        <v>0</v>
      </c>
      <c r="G16" s="97" t="s">
        <v>560</v>
      </c>
      <c r="H16" s="98"/>
      <c r="I16" s="25">
        <f>VORN!I23</f>
        <v>0</v>
      </c>
    </row>
    <row r="17" spans="1:9" ht="15" customHeight="1">
      <c r="A17" s="30" t="s">
        <v>421</v>
      </c>
      <c r="B17" s="29" t="s">
        <v>117</v>
      </c>
      <c r="C17" s="24">
        <f>SUM('Stavební rozpočet'!AE12:AE299)</f>
        <v>0</v>
      </c>
      <c r="D17" s="97" t="s">
        <v>421</v>
      </c>
      <c r="E17" s="98"/>
      <c r="F17" s="25" t="s">
        <v>421</v>
      </c>
      <c r="G17" s="97" t="s">
        <v>325</v>
      </c>
      <c r="H17" s="98"/>
      <c r="I17" s="25">
        <f>VORN!I24</f>
        <v>0</v>
      </c>
    </row>
    <row r="18" spans="1:9" ht="15" customHeight="1">
      <c r="A18" s="23" t="s">
        <v>176</v>
      </c>
      <c r="B18" s="29" t="s">
        <v>150</v>
      </c>
      <c r="C18" s="24">
        <f>SUM('Stavební rozpočet'!AF12:AF299)</f>
        <v>0</v>
      </c>
      <c r="D18" s="97" t="s">
        <v>421</v>
      </c>
      <c r="E18" s="98"/>
      <c r="F18" s="25" t="s">
        <v>421</v>
      </c>
      <c r="G18" s="97" t="s">
        <v>395</v>
      </c>
      <c r="H18" s="98"/>
      <c r="I18" s="25">
        <f>VORN!I25</f>
        <v>0</v>
      </c>
    </row>
    <row r="19" spans="1:9" ht="15" customHeight="1">
      <c r="A19" s="30" t="s">
        <v>421</v>
      </c>
      <c r="B19" s="29" t="s">
        <v>117</v>
      </c>
      <c r="C19" s="24">
        <f>SUM('Stavební rozpočet'!AG12:AG299)</f>
        <v>0</v>
      </c>
      <c r="D19" s="97" t="s">
        <v>421</v>
      </c>
      <c r="E19" s="98"/>
      <c r="F19" s="25" t="s">
        <v>421</v>
      </c>
      <c r="G19" s="97" t="s">
        <v>576</v>
      </c>
      <c r="H19" s="98"/>
      <c r="I19" s="25">
        <f>VORN!I26</f>
        <v>0</v>
      </c>
    </row>
    <row r="20" spans="1:9" ht="15" customHeight="1">
      <c r="A20" s="91" t="s">
        <v>39</v>
      </c>
      <c r="B20" s="92"/>
      <c r="C20" s="24">
        <f>SUM('Stavební rozpočet'!AH12:AH299)</f>
        <v>0</v>
      </c>
      <c r="D20" s="97" t="s">
        <v>421</v>
      </c>
      <c r="E20" s="98"/>
      <c r="F20" s="25" t="s">
        <v>421</v>
      </c>
      <c r="G20" s="97" t="s">
        <v>421</v>
      </c>
      <c r="H20" s="98"/>
      <c r="I20" s="25" t="s">
        <v>421</v>
      </c>
    </row>
    <row r="21" spans="1:9" ht="15" customHeight="1">
      <c r="A21" s="93" t="s">
        <v>575</v>
      </c>
      <c r="B21" s="94"/>
      <c r="C21" s="42">
        <f>SUM('Stavební rozpočet'!Z12:Z299)</f>
        <v>0</v>
      </c>
      <c r="D21" s="99" t="s">
        <v>421</v>
      </c>
      <c r="E21" s="100"/>
      <c r="F21" s="12" t="s">
        <v>421</v>
      </c>
      <c r="G21" s="99" t="s">
        <v>421</v>
      </c>
      <c r="H21" s="100"/>
      <c r="I21" s="12" t="s">
        <v>421</v>
      </c>
    </row>
    <row r="22" spans="1:9" ht="16.5" customHeight="1">
      <c r="A22" s="95" t="s">
        <v>120</v>
      </c>
      <c r="B22" s="96"/>
      <c r="C22" s="52">
        <f>SUM(C14:C21)</f>
        <v>0</v>
      </c>
      <c r="D22" s="101" t="s">
        <v>314</v>
      </c>
      <c r="E22" s="96"/>
      <c r="F22" s="52">
        <f>SUM(F14:F21)</f>
        <v>0</v>
      </c>
      <c r="G22" s="101" t="s">
        <v>590</v>
      </c>
      <c r="H22" s="96"/>
      <c r="I22" s="52">
        <f>SUM(I14:I21)</f>
        <v>0</v>
      </c>
    </row>
    <row r="23" spans="1:9" ht="15" customHeight="1">
      <c r="D23" s="91" t="s">
        <v>475</v>
      </c>
      <c r="E23" s="92"/>
      <c r="F23" s="41">
        <v>0</v>
      </c>
      <c r="G23" s="102" t="s">
        <v>30</v>
      </c>
      <c r="H23" s="92"/>
      <c r="I23" s="24">
        <v>0</v>
      </c>
    </row>
    <row r="24" spans="1:9" ht="15" customHeight="1">
      <c r="G24" s="91" t="s">
        <v>365</v>
      </c>
      <c r="H24" s="92"/>
      <c r="I24" s="42">
        <f>vorn_sum</f>
        <v>0</v>
      </c>
    </row>
    <row r="25" spans="1:9" ht="15" customHeight="1">
      <c r="G25" s="91" t="s">
        <v>179</v>
      </c>
      <c r="H25" s="92"/>
      <c r="I25" s="52">
        <v>0</v>
      </c>
    </row>
    <row r="27" spans="1:9" ht="15" customHeight="1">
      <c r="A27" s="103" t="s">
        <v>249</v>
      </c>
      <c r="B27" s="104"/>
      <c r="C27" s="50">
        <f>SUM('Stavební rozpočet'!AJ12:AJ299)</f>
        <v>0</v>
      </c>
    </row>
    <row r="28" spans="1:9" ht="15" customHeight="1">
      <c r="A28" s="105" t="s">
        <v>10</v>
      </c>
      <c r="B28" s="106"/>
      <c r="C28" s="55">
        <f>SUM('Stavební rozpočet'!AK12:AK299)</f>
        <v>0</v>
      </c>
      <c r="D28" s="104" t="s">
        <v>133</v>
      </c>
      <c r="E28" s="104"/>
      <c r="F28" s="50">
        <f>ROUND(C28*(15/100),2)</f>
        <v>0</v>
      </c>
      <c r="G28" s="104" t="s">
        <v>85</v>
      </c>
      <c r="H28" s="104"/>
      <c r="I28" s="50">
        <f>SUM(C27:C29)</f>
        <v>0</v>
      </c>
    </row>
    <row r="29" spans="1:9" ht="15" customHeight="1">
      <c r="A29" s="105" t="s">
        <v>27</v>
      </c>
      <c r="B29" s="106"/>
      <c r="C29" s="55">
        <f>SUM('Stavební rozpočet'!AL12:AL299)+(F22+I22+F23+I23+I24+I25)</f>
        <v>0</v>
      </c>
      <c r="D29" s="106" t="s">
        <v>450</v>
      </c>
      <c r="E29" s="106"/>
      <c r="F29" s="55">
        <f>ROUND(C29*(21/100),2)</f>
        <v>0</v>
      </c>
      <c r="G29" s="106" t="s">
        <v>246</v>
      </c>
      <c r="H29" s="106"/>
      <c r="I29" s="55">
        <f>SUM(F28:F29)+I28</f>
        <v>0</v>
      </c>
    </row>
    <row r="31" spans="1:9" ht="15" customHeight="1">
      <c r="A31" s="107" t="s">
        <v>7</v>
      </c>
      <c r="B31" s="108"/>
      <c r="C31" s="109"/>
      <c r="D31" s="108" t="s">
        <v>552</v>
      </c>
      <c r="E31" s="108"/>
      <c r="F31" s="109"/>
      <c r="G31" s="108" t="s">
        <v>414</v>
      </c>
      <c r="H31" s="108"/>
      <c r="I31" s="109"/>
    </row>
    <row r="32" spans="1:9" ht="15" customHeight="1">
      <c r="A32" s="110" t="s">
        <v>421</v>
      </c>
      <c r="B32" s="99"/>
      <c r="C32" s="111"/>
      <c r="D32" s="99" t="s">
        <v>421</v>
      </c>
      <c r="E32" s="99"/>
      <c r="F32" s="111"/>
      <c r="G32" s="99" t="s">
        <v>421</v>
      </c>
      <c r="H32" s="99"/>
      <c r="I32" s="111"/>
    </row>
    <row r="33" spans="1:9" ht="15" customHeight="1">
      <c r="A33" s="110" t="s">
        <v>421</v>
      </c>
      <c r="B33" s="99"/>
      <c r="C33" s="111"/>
      <c r="D33" s="99" t="s">
        <v>421</v>
      </c>
      <c r="E33" s="99"/>
      <c r="F33" s="111"/>
      <c r="G33" s="99" t="s">
        <v>421</v>
      </c>
      <c r="H33" s="99"/>
      <c r="I33" s="111"/>
    </row>
    <row r="34" spans="1:9" ht="15" customHeight="1">
      <c r="A34" s="110" t="s">
        <v>421</v>
      </c>
      <c r="B34" s="99"/>
      <c r="C34" s="111"/>
      <c r="D34" s="99" t="s">
        <v>421</v>
      </c>
      <c r="E34" s="99"/>
      <c r="F34" s="111"/>
      <c r="G34" s="99" t="s">
        <v>421</v>
      </c>
      <c r="H34" s="99"/>
      <c r="I34" s="111"/>
    </row>
    <row r="35" spans="1:9" ht="15" customHeight="1">
      <c r="A35" s="112" t="s">
        <v>118</v>
      </c>
      <c r="B35" s="113"/>
      <c r="C35" s="114"/>
      <c r="D35" s="113" t="s">
        <v>118</v>
      </c>
      <c r="E35" s="113"/>
      <c r="F35" s="114"/>
      <c r="G35" s="113" t="s">
        <v>118</v>
      </c>
      <c r="H35" s="113"/>
      <c r="I35" s="114"/>
    </row>
    <row r="36" spans="1:9" ht="15" customHeight="1">
      <c r="A36" s="43" t="s">
        <v>48</v>
      </c>
    </row>
    <row r="37" spans="1:9" ht="12.75" customHeight="1">
      <c r="A37" s="66" t="s">
        <v>421</v>
      </c>
      <c r="B37" s="63"/>
      <c r="C37" s="63"/>
      <c r="D37" s="63"/>
      <c r="E37" s="63"/>
      <c r="F37" s="63"/>
      <c r="G37" s="63"/>
      <c r="H37" s="63"/>
      <c r="I37" s="63"/>
    </row>
  </sheetData>
  <mergeCells count="83">
    <mergeCell ref="G31:I31"/>
    <mergeCell ref="G32:I32"/>
    <mergeCell ref="G33:I33"/>
    <mergeCell ref="G34:I34"/>
    <mergeCell ref="G35:I35"/>
    <mergeCell ref="A37:I37"/>
    <mergeCell ref="A31:C31"/>
    <mergeCell ref="A32:C32"/>
    <mergeCell ref="A33:C33"/>
    <mergeCell ref="A34:C34"/>
    <mergeCell ref="A35:C35"/>
    <mergeCell ref="D31:F31"/>
    <mergeCell ref="D32:F32"/>
    <mergeCell ref="D33:F33"/>
    <mergeCell ref="D34:F34"/>
    <mergeCell ref="D35:F35"/>
    <mergeCell ref="A27:B27"/>
    <mergeCell ref="A28:B28"/>
    <mergeCell ref="A29:B29"/>
    <mergeCell ref="D28:E28"/>
    <mergeCell ref="D29:E29"/>
    <mergeCell ref="G28:H28"/>
    <mergeCell ref="G29:H29"/>
    <mergeCell ref="G20:H20"/>
    <mergeCell ref="G21:H21"/>
    <mergeCell ref="G22:H22"/>
    <mergeCell ref="G23:H23"/>
    <mergeCell ref="G24:H24"/>
    <mergeCell ref="G25:H25"/>
    <mergeCell ref="G14:H14"/>
    <mergeCell ref="G15:H15"/>
    <mergeCell ref="G16:H16"/>
    <mergeCell ref="G17:H17"/>
    <mergeCell ref="G18:H18"/>
    <mergeCell ref="G19:H19"/>
    <mergeCell ref="D18:E18"/>
    <mergeCell ref="D19:E19"/>
    <mergeCell ref="D20:E20"/>
    <mergeCell ref="D21:E21"/>
    <mergeCell ref="D22:E22"/>
    <mergeCell ref="D23:E23"/>
    <mergeCell ref="B13:C13"/>
    <mergeCell ref="E13:F13"/>
    <mergeCell ref="H13:I13"/>
    <mergeCell ref="A20:B20"/>
    <mergeCell ref="A21:B21"/>
    <mergeCell ref="A22:B22"/>
    <mergeCell ref="D14:E14"/>
    <mergeCell ref="D15:E15"/>
    <mergeCell ref="D16:E16"/>
    <mergeCell ref="D17:E17"/>
    <mergeCell ref="I2:I3"/>
    <mergeCell ref="I4:I5"/>
    <mergeCell ref="I6:I7"/>
    <mergeCell ref="I8:I9"/>
    <mergeCell ref="I10:I11"/>
    <mergeCell ref="A12:I12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</mergeCells>
  <pageMargins left="0.39400000000000002" right="0.39400000000000002" top="0.59099999999999997" bottom="0.59099999999999997" header="0" footer="0"/>
  <pageSetup paperSize="0" firstPageNumber="0" orientation="landscape" useFirstPageNumber="1" horizontalDpi="0" verticalDpi="0" copies="0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36"/>
  <sheetViews>
    <sheetView showOutlineSymbols="0" workbookViewId="0">
      <selection activeCell="A36" sqref="A36:E36"/>
    </sheetView>
  </sheetViews>
  <sheetFormatPr defaultColWidth="14.1640625" defaultRowHeight="15" customHeight="1"/>
  <cols>
    <col min="1" max="1" width="10.6640625"/>
    <col min="2" max="2" width="15"/>
    <col min="3" max="3" width="26.6640625"/>
    <col min="4" max="4" width="11.6640625"/>
    <col min="5" max="5" width="16.33203125"/>
    <col min="6" max="6" width="26.6640625"/>
    <col min="7" max="7" width="10.6640625"/>
    <col min="8" max="8" width="20"/>
    <col min="9" max="9" width="26.6640625"/>
  </cols>
  <sheetData>
    <row r="1" spans="1:9" ht="54.75" customHeight="1">
      <c r="A1" s="83" t="s">
        <v>87</v>
      </c>
      <c r="B1" s="59"/>
      <c r="C1" s="59"/>
      <c r="D1" s="59"/>
      <c r="E1" s="59"/>
      <c r="F1" s="59"/>
      <c r="G1" s="59"/>
      <c r="H1" s="59"/>
      <c r="I1" s="59"/>
    </row>
    <row r="2" spans="1:9" ht="15" customHeight="1">
      <c r="A2" s="60" t="s">
        <v>38</v>
      </c>
      <c r="B2" s="61"/>
      <c r="C2" s="67" t="str">
        <f>'Stavební rozpočet'!C2</f>
        <v>NOVÁ PŘÍPOJKA TERMÁLNÍ VODY PRO AQUACENTRUM TEPLICE</v>
      </c>
      <c r="D2" s="68"/>
      <c r="E2" s="65" t="s">
        <v>500</v>
      </c>
      <c r="F2" s="65" t="str">
        <f>'Stavební rozpočet'!I2</f>
        <v>AQUACENTRUM p.o., TEPLICE</v>
      </c>
      <c r="G2" s="61"/>
      <c r="H2" s="65" t="s">
        <v>394</v>
      </c>
      <c r="I2" s="70" t="s">
        <v>421</v>
      </c>
    </row>
    <row r="3" spans="1:9" ht="15" customHeight="1">
      <c r="A3" s="62"/>
      <c r="B3" s="63"/>
      <c r="C3" s="69"/>
      <c r="D3" s="69"/>
      <c r="E3" s="63"/>
      <c r="F3" s="63"/>
      <c r="G3" s="63"/>
      <c r="H3" s="63"/>
      <c r="I3" s="71"/>
    </row>
    <row r="4" spans="1:9" ht="15" customHeight="1">
      <c r="A4" s="64" t="s">
        <v>333</v>
      </c>
      <c r="B4" s="63"/>
      <c r="C4" s="66" t="str">
        <f>'Stavební rozpočet'!C4</f>
        <v>SO 01 - OTV z LDB do ČS</v>
      </c>
      <c r="D4" s="63"/>
      <c r="E4" s="66" t="s">
        <v>420</v>
      </c>
      <c r="F4" s="66" t="str">
        <f>'Stavební rozpočet'!I4</f>
        <v>CHEMINVEST</v>
      </c>
      <c r="G4" s="63"/>
      <c r="H4" s="66" t="s">
        <v>394</v>
      </c>
      <c r="I4" s="71" t="s">
        <v>421</v>
      </c>
    </row>
    <row r="5" spans="1:9" ht="15" customHeight="1">
      <c r="A5" s="62"/>
      <c r="B5" s="63"/>
      <c r="C5" s="63"/>
      <c r="D5" s="63"/>
      <c r="E5" s="63"/>
      <c r="F5" s="63"/>
      <c r="G5" s="63"/>
      <c r="H5" s="63"/>
      <c r="I5" s="71"/>
    </row>
    <row r="6" spans="1:9" ht="15" customHeight="1">
      <c r="A6" s="64" t="s">
        <v>50</v>
      </c>
      <c r="B6" s="63"/>
      <c r="C6" s="66" t="str">
        <f>'Stavební rozpočet'!C6</f>
        <v>AQUACENTRUM TEPLICE</v>
      </c>
      <c r="D6" s="63"/>
      <c r="E6" s="66" t="s">
        <v>516</v>
      </c>
      <c r="F6" s="66" t="str">
        <f>'Stavební rozpočet'!I6</f>
        <v> </v>
      </c>
      <c r="G6" s="63"/>
      <c r="H6" s="66" t="s">
        <v>394</v>
      </c>
      <c r="I6" s="71" t="s">
        <v>421</v>
      </c>
    </row>
    <row r="7" spans="1:9" ht="15" customHeight="1">
      <c r="A7" s="62"/>
      <c r="B7" s="63"/>
      <c r="C7" s="63"/>
      <c r="D7" s="63"/>
      <c r="E7" s="63"/>
      <c r="F7" s="63"/>
      <c r="G7" s="63"/>
      <c r="H7" s="63"/>
      <c r="I7" s="71"/>
    </row>
    <row r="8" spans="1:9" ht="15" customHeight="1">
      <c r="A8" s="64" t="s">
        <v>525</v>
      </c>
      <c r="B8" s="63"/>
      <c r="C8" s="66" t="str">
        <f>'Stavební rozpočet'!G4</f>
        <v>23.01.2023</v>
      </c>
      <c r="D8" s="63"/>
      <c r="E8" s="66" t="s">
        <v>190</v>
      </c>
      <c r="F8" s="66" t="str">
        <f>'Stavební rozpočet'!G6</f>
        <v xml:space="preserve"> </v>
      </c>
      <c r="G8" s="63"/>
      <c r="H8" s="63" t="s">
        <v>589</v>
      </c>
      <c r="I8" s="85">
        <v>114</v>
      </c>
    </row>
    <row r="9" spans="1:9" ht="15" customHeight="1">
      <c r="A9" s="62"/>
      <c r="B9" s="63"/>
      <c r="C9" s="63"/>
      <c r="D9" s="63"/>
      <c r="E9" s="63"/>
      <c r="F9" s="63"/>
      <c r="G9" s="63"/>
      <c r="H9" s="63"/>
      <c r="I9" s="71"/>
    </row>
    <row r="10" spans="1:9" ht="15" customHeight="1">
      <c r="A10" s="64" t="s">
        <v>297</v>
      </c>
      <c r="B10" s="63"/>
      <c r="C10" s="66" t="str">
        <f>'Stavební rozpočet'!C8</f>
        <v xml:space="preserve"> </v>
      </c>
      <c r="D10" s="63"/>
      <c r="E10" s="66" t="s">
        <v>404</v>
      </c>
      <c r="F10" s="66" t="str">
        <f>'Stavební rozpočet'!I8</f>
        <v>Kamila Možná</v>
      </c>
      <c r="G10" s="63"/>
      <c r="H10" s="63" t="s">
        <v>564</v>
      </c>
      <c r="I10" s="86" t="str">
        <f>'Stavební rozpočet'!G8</f>
        <v>11.12.2023</v>
      </c>
    </row>
    <row r="11" spans="1:9" ht="15" customHeight="1">
      <c r="A11" s="84"/>
      <c r="B11" s="82"/>
      <c r="C11" s="82"/>
      <c r="D11" s="82"/>
      <c r="E11" s="82"/>
      <c r="F11" s="82"/>
      <c r="G11" s="82"/>
      <c r="H11" s="82"/>
      <c r="I11" s="87"/>
    </row>
    <row r="13" spans="1:9" ht="15.75" customHeight="1">
      <c r="A13" s="115" t="s">
        <v>228</v>
      </c>
      <c r="B13" s="115"/>
      <c r="C13" s="115"/>
      <c r="D13" s="115"/>
      <c r="E13" s="115"/>
    </row>
    <row r="14" spans="1:9" ht="15" customHeight="1">
      <c r="A14" s="116" t="s">
        <v>652</v>
      </c>
      <c r="B14" s="117"/>
      <c r="C14" s="117"/>
      <c r="D14" s="117"/>
      <c r="E14" s="118"/>
      <c r="F14" s="47" t="s">
        <v>605</v>
      </c>
      <c r="G14" s="47" t="s">
        <v>517</v>
      </c>
      <c r="H14" s="47" t="s">
        <v>145</v>
      </c>
      <c r="I14" s="47" t="s">
        <v>605</v>
      </c>
    </row>
    <row r="15" spans="1:9" ht="15" customHeight="1">
      <c r="A15" s="84" t="s">
        <v>435</v>
      </c>
      <c r="B15" s="82"/>
      <c r="C15" s="82"/>
      <c r="D15" s="82"/>
      <c r="E15" s="87"/>
      <c r="F15" s="18">
        <v>0</v>
      </c>
      <c r="G15" s="36" t="s">
        <v>421</v>
      </c>
      <c r="H15" s="36" t="s">
        <v>421</v>
      </c>
      <c r="I15" s="18">
        <f>F15</f>
        <v>0</v>
      </c>
    </row>
    <row r="16" spans="1:9" ht="15" customHeight="1">
      <c r="A16" s="84" t="s">
        <v>57</v>
      </c>
      <c r="B16" s="82"/>
      <c r="C16" s="82"/>
      <c r="D16" s="82"/>
      <c r="E16" s="87"/>
      <c r="F16" s="18">
        <v>0</v>
      </c>
      <c r="G16" s="36" t="s">
        <v>421</v>
      </c>
      <c r="H16" s="36" t="s">
        <v>421</v>
      </c>
      <c r="I16" s="18">
        <f>F16</f>
        <v>0</v>
      </c>
    </row>
    <row r="17" spans="1:9" ht="15" customHeight="1">
      <c r="A17" s="62" t="s">
        <v>446</v>
      </c>
      <c r="B17" s="63"/>
      <c r="C17" s="63"/>
      <c r="D17" s="63"/>
      <c r="E17" s="71"/>
      <c r="F17" s="8">
        <v>0</v>
      </c>
      <c r="G17" s="11" t="s">
        <v>421</v>
      </c>
      <c r="H17" s="11" t="s">
        <v>421</v>
      </c>
      <c r="I17" s="8">
        <f>F17</f>
        <v>0</v>
      </c>
    </row>
    <row r="18" spans="1:9" ht="15" customHeight="1">
      <c r="A18" s="119" t="s">
        <v>625</v>
      </c>
      <c r="B18" s="120"/>
      <c r="C18" s="120"/>
      <c r="D18" s="120"/>
      <c r="E18" s="121"/>
      <c r="F18" s="28" t="s">
        <v>421</v>
      </c>
      <c r="G18" s="15" t="s">
        <v>421</v>
      </c>
      <c r="H18" s="15" t="s">
        <v>421</v>
      </c>
      <c r="I18" s="14">
        <f>SUM(I15:I17)</f>
        <v>0</v>
      </c>
    </row>
    <row r="20" spans="1:9" ht="15" customHeight="1">
      <c r="A20" s="116" t="s">
        <v>110</v>
      </c>
      <c r="B20" s="117"/>
      <c r="C20" s="117"/>
      <c r="D20" s="117"/>
      <c r="E20" s="118"/>
      <c r="F20" s="47" t="s">
        <v>605</v>
      </c>
      <c r="G20" s="47" t="s">
        <v>517</v>
      </c>
      <c r="H20" s="47" t="s">
        <v>145</v>
      </c>
      <c r="I20" s="47" t="s">
        <v>605</v>
      </c>
    </row>
    <row r="21" spans="1:9" ht="15" customHeight="1">
      <c r="A21" s="84" t="s">
        <v>59</v>
      </c>
      <c r="B21" s="82"/>
      <c r="C21" s="82"/>
      <c r="D21" s="82"/>
      <c r="E21" s="87"/>
      <c r="F21" s="18">
        <v>0</v>
      </c>
      <c r="G21" s="36" t="s">
        <v>421</v>
      </c>
      <c r="H21" s="36" t="s">
        <v>421</v>
      </c>
      <c r="I21" s="18">
        <f t="shared" ref="I21:I26" si="0">F21</f>
        <v>0</v>
      </c>
    </row>
    <row r="22" spans="1:9" ht="15" customHeight="1">
      <c r="A22" s="84" t="s">
        <v>471</v>
      </c>
      <c r="B22" s="82"/>
      <c r="C22" s="82"/>
      <c r="D22" s="82"/>
      <c r="E22" s="87"/>
      <c r="F22" s="18">
        <v>0</v>
      </c>
      <c r="G22" s="36" t="s">
        <v>421</v>
      </c>
      <c r="H22" s="36" t="s">
        <v>421</v>
      </c>
      <c r="I22" s="18">
        <f t="shared" si="0"/>
        <v>0</v>
      </c>
    </row>
    <row r="23" spans="1:9" ht="15" customHeight="1">
      <c r="A23" s="84" t="s">
        <v>560</v>
      </c>
      <c r="B23" s="82"/>
      <c r="C23" s="82"/>
      <c r="D23" s="82"/>
      <c r="E23" s="87"/>
      <c r="F23" s="18">
        <v>0</v>
      </c>
      <c r="G23" s="36" t="s">
        <v>421</v>
      </c>
      <c r="H23" s="36" t="s">
        <v>421</v>
      </c>
      <c r="I23" s="18">
        <f t="shared" si="0"/>
        <v>0</v>
      </c>
    </row>
    <row r="24" spans="1:9" ht="15" customHeight="1">
      <c r="A24" s="84" t="s">
        <v>325</v>
      </c>
      <c r="B24" s="82"/>
      <c r="C24" s="82"/>
      <c r="D24" s="82"/>
      <c r="E24" s="87"/>
      <c r="F24" s="18">
        <v>0</v>
      </c>
      <c r="G24" s="36" t="s">
        <v>421</v>
      </c>
      <c r="H24" s="36" t="s">
        <v>421</v>
      </c>
      <c r="I24" s="18">
        <f t="shared" si="0"/>
        <v>0</v>
      </c>
    </row>
    <row r="25" spans="1:9" ht="15" customHeight="1">
      <c r="A25" s="84" t="s">
        <v>395</v>
      </c>
      <c r="B25" s="82"/>
      <c r="C25" s="82"/>
      <c r="D25" s="82"/>
      <c r="E25" s="87"/>
      <c r="F25" s="18">
        <v>0</v>
      </c>
      <c r="G25" s="36" t="s">
        <v>421</v>
      </c>
      <c r="H25" s="36" t="s">
        <v>421</v>
      </c>
      <c r="I25" s="18">
        <f t="shared" si="0"/>
        <v>0</v>
      </c>
    </row>
    <row r="26" spans="1:9" ht="15" customHeight="1">
      <c r="A26" s="62" t="s">
        <v>576</v>
      </c>
      <c r="B26" s="63"/>
      <c r="C26" s="63"/>
      <c r="D26" s="63"/>
      <c r="E26" s="71"/>
      <c r="F26" s="8">
        <v>0</v>
      </c>
      <c r="G26" s="11" t="s">
        <v>421</v>
      </c>
      <c r="H26" s="11" t="s">
        <v>421</v>
      </c>
      <c r="I26" s="8">
        <f t="shared" si="0"/>
        <v>0</v>
      </c>
    </row>
    <row r="27" spans="1:9" ht="15" customHeight="1">
      <c r="A27" s="119" t="s">
        <v>247</v>
      </c>
      <c r="B27" s="120"/>
      <c r="C27" s="120"/>
      <c r="D27" s="120"/>
      <c r="E27" s="121"/>
      <c r="F27" s="28" t="s">
        <v>421</v>
      </c>
      <c r="G27" s="15" t="s">
        <v>421</v>
      </c>
      <c r="H27" s="15" t="s">
        <v>421</v>
      </c>
      <c r="I27" s="14">
        <f>SUM(I21:I26)</f>
        <v>0</v>
      </c>
    </row>
    <row r="29" spans="1:9" ht="15.75" customHeight="1">
      <c r="A29" s="122" t="s">
        <v>609</v>
      </c>
      <c r="B29" s="123"/>
      <c r="C29" s="123"/>
      <c r="D29" s="123"/>
      <c r="E29" s="124"/>
      <c r="F29" s="125">
        <f>I18+I27</f>
        <v>0</v>
      </c>
      <c r="G29" s="126"/>
      <c r="H29" s="126"/>
      <c r="I29" s="127"/>
    </row>
    <row r="33" spans="1:9" ht="15.75" customHeight="1">
      <c r="A33" s="115" t="s">
        <v>598</v>
      </c>
      <c r="B33" s="115"/>
      <c r="C33" s="115"/>
      <c r="D33" s="115"/>
      <c r="E33" s="115"/>
    </row>
    <row r="34" spans="1:9" ht="15" customHeight="1">
      <c r="A34" s="116" t="s">
        <v>623</v>
      </c>
      <c r="B34" s="117"/>
      <c r="C34" s="117"/>
      <c r="D34" s="117"/>
      <c r="E34" s="118"/>
      <c r="F34" s="47" t="s">
        <v>605</v>
      </c>
      <c r="G34" s="47" t="s">
        <v>517</v>
      </c>
      <c r="H34" s="47" t="s">
        <v>145</v>
      </c>
      <c r="I34" s="47" t="s">
        <v>605</v>
      </c>
    </row>
    <row r="35" spans="1:9" ht="15" customHeight="1">
      <c r="A35" s="62" t="s">
        <v>421</v>
      </c>
      <c r="B35" s="63"/>
      <c r="C35" s="63"/>
      <c r="D35" s="63"/>
      <c r="E35" s="71"/>
      <c r="F35" s="8">
        <v>0</v>
      </c>
      <c r="G35" s="11" t="s">
        <v>421</v>
      </c>
      <c r="H35" s="11" t="s">
        <v>421</v>
      </c>
      <c r="I35" s="8">
        <f>F35</f>
        <v>0</v>
      </c>
    </row>
    <row r="36" spans="1:9" ht="15" customHeight="1">
      <c r="A36" s="119" t="s">
        <v>217</v>
      </c>
      <c r="B36" s="120"/>
      <c r="C36" s="120"/>
      <c r="D36" s="120"/>
      <c r="E36" s="121"/>
      <c r="F36" s="28" t="s">
        <v>421</v>
      </c>
      <c r="G36" s="15" t="s">
        <v>421</v>
      </c>
      <c r="H36" s="15" t="s">
        <v>421</v>
      </c>
      <c r="I36" s="14">
        <f>SUM(I35:I35)</f>
        <v>0</v>
      </c>
    </row>
  </sheetData>
  <mergeCells count="51">
    <mergeCell ref="A36:E36"/>
    <mergeCell ref="A27:E27"/>
    <mergeCell ref="A29:E29"/>
    <mergeCell ref="F29:I29"/>
    <mergeCell ref="A33:E33"/>
    <mergeCell ref="A34:E34"/>
    <mergeCell ref="A35:E35"/>
    <mergeCell ref="A21:E21"/>
    <mergeCell ref="A22:E22"/>
    <mergeCell ref="A23:E23"/>
    <mergeCell ref="A24:E24"/>
    <mergeCell ref="A25:E25"/>
    <mergeCell ref="A26:E26"/>
    <mergeCell ref="A14:E14"/>
    <mergeCell ref="A15:E15"/>
    <mergeCell ref="A16:E16"/>
    <mergeCell ref="A17:E17"/>
    <mergeCell ref="A18:E18"/>
    <mergeCell ref="A20:E20"/>
    <mergeCell ref="I2:I3"/>
    <mergeCell ref="I4:I5"/>
    <mergeCell ref="I6:I7"/>
    <mergeCell ref="I8:I9"/>
    <mergeCell ref="I10:I11"/>
    <mergeCell ref="A13:E13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E10:E11"/>
    <mergeCell ref="H2:H3"/>
    <mergeCell ref="H4:H5"/>
    <mergeCell ref="H6:H7"/>
    <mergeCell ref="H8:H9"/>
    <mergeCell ref="H10:H11"/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Kamila</cp:lastModifiedBy>
  <dcterms:created xsi:type="dcterms:W3CDTF">2021-06-10T20:06:38Z</dcterms:created>
  <dcterms:modified xsi:type="dcterms:W3CDTF">2023-12-11T09:42:46Z</dcterms:modified>
</cp:coreProperties>
</file>